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ThisWorkbook" autoCompressPictures="0"/>
  <mc:AlternateContent xmlns:mc="http://schemas.openxmlformats.org/markup-compatibility/2006">
    <mc:Choice Requires="x15">
      <x15ac:absPath xmlns:x15ac="http://schemas.microsoft.com/office/spreadsheetml/2010/11/ac" url="\\Serveur-Data\X3\FICHES TECHNIQUES MATIERES\"/>
    </mc:Choice>
  </mc:AlternateContent>
  <xr:revisionPtr revIDLastSave="0" documentId="8_{1AEB8861-7DA0-4DD4-98A0-AEE0D70AFC8B}"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28680" yWindow="-120" windowWidth="29040" windowHeight="1584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8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C8" i="6" s="1"/>
  <c r="J9" i="6"/>
  <c r="C9" i="6" s="1"/>
  <c r="J10" i="6"/>
  <c r="C10" i="6" s="1"/>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l="1"/>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l="1"/>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7" i="5"/>
  <c r="T9" i="5"/>
  <c r="T11" i="5"/>
  <c r="T8"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<sst xmlns="http://schemas.openxmlformats.org/spreadsheetml/2006/main" count="21955" uniqueCount="15615">
  <si>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</si>
  <si>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</si>
  <si>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</si>
  <si>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</si>
  <si>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</si>
  <si>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</si>
  <si>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</si>
  <si>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</si>
  <si>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</si>
  <si>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</si>
  <si>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</si>
  <si>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</si>
  <si>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</si>
  <si>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</si>
  <si>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</si>
  <si>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</si>
  <si>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</si>
  <si>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</si>
  <si>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</si>
  <si>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</si>
  <si>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</si>
  <si>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</si>
  <si>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</si>
  <si>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</si>
  <si>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</si>
  <si>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</si>
  <si>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</si>
  <si>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</si>
  <si>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</si>
  <si>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</si>
  <si>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</si>
  <si>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</si>
  <si>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</si>
  <si>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</si>
  <si>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</si>
  <si>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</si>
  <si>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</si>
  <si>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</si>
  <si>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</si>
  <si>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</si>
  <si>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</si>
  <si>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</si>
  <si>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</si>
  <si>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</si>
  <si>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</si>
  <si>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</si>
  <si>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</si>
  <si>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</si>
  <si>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</si>
  <si>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</si>
  <si>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</si>
  <si>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</si>
  <si>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</si>
  <si>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</si>
  <si>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</si>
  <si>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</si>
  <si>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</si>
  <si>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</si>
  <si>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</si>
  <si>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</si>
  <si>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</si>
  <si>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</si>
  <si>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</si>
  <si>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</si>
  <si>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</si>
  <si>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</si>
  <si>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</si>
  <si>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</si>
  <si>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</si>
  <si>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</si>
  <si>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</si>
  <si>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</si>
  <si>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</si>
  <si>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</si>
  <si>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</si>
  <si>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</si>
  <si>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</si>
  <si>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</si>
  <si>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</si>
  <si>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</si>
  <si>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</si>
  <si>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</si>
  <si>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</si>
  <si>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</si>
  <si>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</si>
  <si>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</si>
  <si>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</si>
  <si>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</si>
  <si>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</si>
  <si>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</si>
  <si>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</si>
  <si>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</si>
  <si>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</si>
  <si>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</si>
  <si>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</si>
  <si>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</si>
  <si>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</si>
  <si>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</si>
  <si>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</si>
  <si>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</si>
  <si>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</si>
  <si>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</si>
  <si>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</si>
  <si>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</si>
  <si>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</si>
  <si>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</si>
  <si>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</si>
  <si>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</si>
  <si>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</si>
  <si>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</si>
  <si>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</si>
  <si>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</si>
  <si>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</si>
  <si>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</si>
  <si>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</si>
  <si>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</si>
  <si>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</si>
  <si>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</si>
  <si>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</si>
  <si>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</si>
  <si>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</si>
  <si>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</si>
  <si>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</si>
  <si>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</si>
  <si>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</si>
  <si>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</si>
  <si>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</si>
  <si>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</si>
  <si>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</si>
  <si>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</si>
  <si>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</si>
  <si>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</si>
  <si>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</si>
  <si>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</si>
  <si>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</si>
  <si>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</si>
  <si>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</si>
  <si>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</si>
  <si>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</si>
  <si>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</si>
  <si>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</si>
  <si>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</si>
  <si>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</si>
  <si>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</si>
  <si>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</si>
  <si>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</si>
  <si>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</si>
  <si>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</si>
  <si>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</si>
  <si>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</si>
  <si>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</si>
  <si>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</si>
  <si>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</si>
  <si>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</si>
  <si>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</si>
  <si>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</si>
  <si>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</si>
  <si>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</si>
  <si>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</si>
  <si>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</si>
  <si>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</si>
  <si>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</si>
  <si>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</si>
  <si>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</si>
  <si>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</si>
  <si>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</si>
  <si>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</si>
  <si>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</si>
  <si>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</si>
  <si>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</si>
  <si>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</si>
  <si>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</si>
  <si>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</si>
  <si>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</si>
  <si>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</si>
  <si>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</si>
  <si>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</si>
  <si>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</si>
  <si>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</si>
  <si>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</si>
  <si>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</si>
  <si>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</si>
  <si>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</si>
  <si>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</si>
  <si>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</si>
  <si>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</si>
  <si>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</si>
  <si>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</si>
  <si>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</si>
  <si>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</si>
  <si>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</si>
  <si>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</si>
  <si>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</si>
  <si>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</si>
  <si>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</si>
  <si>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</si>
  <si>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</si>
  <si>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</si>
  <si>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</si>
  <si>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</si>
  <si>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</si>
  <si>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</si>
  <si>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</si>
  <si>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</si>
  <si>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</si>
  <si>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</si>
  <si>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</si>
  <si>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</si>
  <si>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</si>
  <si>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</si>
  <si>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</si>
  <si>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</si>
  <si>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</si>
  <si>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</si>
  <si>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</si>
  <si>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</si>
  <si>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</si>
  <si>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</si>
  <si>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</si>
  <si>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</si>
  <si>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</si>
  <si>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</si>
  <si>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</si>
  <si>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</si>
  <si>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</si>
  <si>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</si>
  <si>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</si>
  <si>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</si>
  <si>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</si>
  <si>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</si>
  <si>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</si>
  <si>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</si>
  <si>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</si>
  <si>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</si>
  <si>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</si>
  <si>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</si>
  <si>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</si>
  <si>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</si>
  <si>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</si>
  <si>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</si>
  <si>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</si>
  <si>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</si>
  <si>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</si>
  <si>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</si>
  <si>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</si>
  <si>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</si>
  <si>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</si>
  <si>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</si>
  <si>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</si>
  <si>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</si>
  <si>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</si>
  <si>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</si>
  <si>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</si>
  <si>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</si>
  <si>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</si>
  <si>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</si>
  <si>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</si>
  <si>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</si>
  <si>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</si>
  <si>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</si>
  <si>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</si>
  <si>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</si>
  <si>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</si>
  <si>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</si>
  <si>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</si>
  <si>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</si>
  <si>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</si>
  <si>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</si>
  <si>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</si>
  <si>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</si>
  <si>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</si>
  <si>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</si>
  <si>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</si>
  <si>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</si>
  <si>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</si>
  <si>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</si>
  <si>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</si>
  <si>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</si>
  <si>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</si>
  <si>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</si>
  <si>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</si>
  <si>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</si>
  <si>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</si>
  <si>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</si>
  <si>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</si>
  <si>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</si>
  <si>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</si>
  <si>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</si>
  <si>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</si>
  <si>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</si>
  <si>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</si>
  <si>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</si>
  <si>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</si>
  <si>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</si>
  <si>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</si>
  <si>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</si>
  <si>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</si>
  <si>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</si>
  <si>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</si>
  <si>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</si>
  <si>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</si>
  <si>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</si>
  <si>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</si>
  <si>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</si>
  <si>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</si>
  <si>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</si>
  <si>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</si>
  <si>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</si>
  <si>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</si>
  <si>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</si>
  <si>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</si>
  <si>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</si>
  <si>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</si>
  <si>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</si>
  <si>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</si>
  <si>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</si>
  <si>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</si>
  <si>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</si>
  <si>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</si>
  <si>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</si>
  <si>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</si>
  <si>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</si>
  <si>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</si>
  <si>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</si>
  <si>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</si>
  <si>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</si>
  <si>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</si>
  <si>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</si>
  <si>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</si>
  <si>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</si>
  <si>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</si>
  <si>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</si>
  <si>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</si>
  <si>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</si>
  <si>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</si>
  <si>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</si>
  <si>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</si>
  <si>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</si>
  <si>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</si>
  <si>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</si>
  <si>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</si>
  <si>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</si>
  <si>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</si>
  <si>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</si>
  <si>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</si>
  <si>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</si>
  <si>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</si>
  <si>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</si>
  <si>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</si>
  <si>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</si>
  <si>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</si>
  <si>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</si>
  <si>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</si>
  <si>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</si>
  <si>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</si>
  <si>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</si>
  <si>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</si>
  <si>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</si>
  <si>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</si>
  <si>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</si>
  <si>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</si>
  <si>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</si>
  <si>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</si>
  <si>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</si>
  <si>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</si>
  <si>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</si>
  <si>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</si>
  <si>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</si>
  <si>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</si>
  <si>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</si>
  <si>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</si>
  <si>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</si>
  <si>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</si>
  <si>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</si>
  <si>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</si>
  <si>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</si>
  <si>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</si>
  <si>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</si>
  <si>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</si>
  <si>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</si>
  <si>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</si>
  <si>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</si>
  <si>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</si>
  <si>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</si>
  <si>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</si>
  <si>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</si>
  <si>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</si>
  <si>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</si>
  <si>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</si>
  <si>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</si>
  <si>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</si>
  <si>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</si>
  <si>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</si>
  <si>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</si>
  <si>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</si>
  <si>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</si>
  <si>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</si>
  <si>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</si>
  <si>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</si>
  <si>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</si>
  <si>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</si>
  <si>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</si>
  <si>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</si>
  <si>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</si>
  <si>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</si>
  <si>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</si>
  <si>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</si>
  <si>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</si>
  <si>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</si>
  <si>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</si>
  <si>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</si>
  <si>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</si>
  <si>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</si>
  <si>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</si>
  <si>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</si>
  <si>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</si>
  <si>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</si>
  <si>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</si>
  <si>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</si>
  <si>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</si>
  <si>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</si>
  <si>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</si>
  <si>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</si>
  <si>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</si>
  <si>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</si>
  <si>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</si>
  <si>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</si>
  <si>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</si>
  <si>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</si>
  <si>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</si>
  <si>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</si>
  <si>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</si>
  <si>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</si>
  <si>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</si>
  <si>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</si>
  <si>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</si>
  <si>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</si>
  <si>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</si>
  <si>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</si>
  <si>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</si>
  <si>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</si>
  <si>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</si>
  <si>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</si>
  <si>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</si>
  <si>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</si>
  <si>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</si>
  <si>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</si>
  <si>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</si>
  <si>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</si>
  <si>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</si>
  <si>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</si>
  <si>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</si>
  <si>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</si>
  <si>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</si>
  <si>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</si>
  <si>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</si>
  <si>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</si>
  <si>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</si>
  <si>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</si>
  <si>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</si>
  <si>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</si>
  <si>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</si>
  <si>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</si>
  <si>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</si>
  <si>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</si>
  <si>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</si>
  <si>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</si>
  <si>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</si>
  <si>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</si>
  <si>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</si>
  <si>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</si>
  <si>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</si>
  <si>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</si>
  <si>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</si>
  <si>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</si>
  <si>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</si>
  <si>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</si>
  <si>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</si>
  <si>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</si>
  <si>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</si>
  <si>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</si>
  <si>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</si>
  <si>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</si>
  <si>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</si>
  <si>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</si>
  <si>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</si>
  <si>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</si>
  <si>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</si>
  <si>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</si>
  <si>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</si>
  <si>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</si>
  <si>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</si>
  <si>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</si>
  <si>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</si>
  <si>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</si>
  <si>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</si>
  <si>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</si>
  <si>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</si>
  <si>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</si>
  <si>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</si>
  <si>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</si>
  <si>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</si>
  <si>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</si>
  <si>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</si>
  <si>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</si>
  <si>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</si>
  <si>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</si>
  <si>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</si>
  <si>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</si>
  <si>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</si>
  <si>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</si>
  <si>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</si>
  <si>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</si>
  <si>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</si>
  <si>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</si>
  <si>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</si>
  <si>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</si>
  <si>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</si>
  <si>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</si>
  <si>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</si>
  <si>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</si>
  <si>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</si>
  <si>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</si>
  <si>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</si>
  <si>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</si>
  <si>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</si>
  <si>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</si>
  <si>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</si>
  <si>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</si>
  <si>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</si>
  <si>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</si>
  <si>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</si>
  <si>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</si>
  <si>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</si>
  <si>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</si>
  <si>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</si>
  <si>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</si>
  <si>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</si>
  <si>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</si>
  <si>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</si>
  <si>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</si>
  <si>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</si>
  <si>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</si>
  <si>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</si>
  <si>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</si>
  <si>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</si>
  <si>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</si>
  <si>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</si>
  <si>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</si>
  <si>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</si>
  <si>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</si>
  <si>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</si>
  <si>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</si>
  <si>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</si>
  <si>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</si>
  <si>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</si>
  <si>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</si>
  <si>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</si>
  <si>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</si>
  <si>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</si>
  <si>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</si>
  <si>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</si>
  <si>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</si>
  <si>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</si>
  <si>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</si>
  <si>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</si>
  <si>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</si>
  <si>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</si>
  <si>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</si>
  <si>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</si>
  <si>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</si>
  <si>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</si>
  <si>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</si>
  <si>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</si>
  <si>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</si>
  <si>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</si>
  <si>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</si>
  <si>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</si>
  <si>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</si>
  <si>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</si>
  <si>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</si>
  <si>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</si>
  <si>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</si>
  <si>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</si>
  <si>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</si>
  <si>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</si>
  <si>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</si>
  <si>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</si>
  <si>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</si>
  <si>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</si>
  <si>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</si>
  <si>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</si>
  <si>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</si>
  <si>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</si>
  <si>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</si>
  <si>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</si>
  <si>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</si>
  <si>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</si>
  <si>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</si>
  <si>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</si>
  <si>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</si>
  <si>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</si>
  <si>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</si>
  <si>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</si>
  <si>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</si>
  <si>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</si>
  <si>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</si>
  <si>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</si>
  <si>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</si>
  <si>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</si>
  <si>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</si>
  <si>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</si>
  <si>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</si>
  <si>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</si>
  <si>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</si>
  <si>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</si>
  <si>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</si>
  <si>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</si>
  <si>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</si>
  <si>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</si>
  <si>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</si>
  <si>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</si>
  <si>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</si>
  <si>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</si>
  <si>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</si>
  <si>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</si>
  <si>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</si>
  <si>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</si>
  <si>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</si>
  <si>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</si>
  <si>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</si>
  <si>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</si>
  <si>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</si>
  <si>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</si>
  <si>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</si>
  <si>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</si>
  <si>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</si>
  <si>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</si>
  <si>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</si>
  <si>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</si>
  <si>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</si>
  <si>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</si>
  <si>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</si>
  <si>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</si>
  <si>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</si>
  <si>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</si>
  <si>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</si>
  <si>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</si>
  <si>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</si>
  <si>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</si>
  <si>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</si>
  <si>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</si>
  <si>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</si>
  <si>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</si>
  <si>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</si>
  <si>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</si>
  <si>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</si>
  <si>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</si>
  <si>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</si>
  <si>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</si>
  <si>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</si>
  <si>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</si>
  <si>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</si>
  <si>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</si>
  <si>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</si>
  <si>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</si>
  <si>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</si>
  <si>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</si>
  <si>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</si>
  <si>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</si>
  <si>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</si>
  <si>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</si>
  <si>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</si>
  <si>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</si>
  <si>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</si>
  <si>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</si>
  <si>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</si>
  <si>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</si>
  <si>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</si>
  <si>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</si>
  <si>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</si>
  <si>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</si>
  <si>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</si>
  <si>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</si>
  <si>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</si>
  <si>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</si>
  <si>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</si>
  <si>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</si>
  <si>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</si>
  <si>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</si>
  <si>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</si>
  <si>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</si>
  <si>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</si>
  <si>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</si>
  <si>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</si>
  <si>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</si>
  <si>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</si>
  <si>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</si>
  <si>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</si>
  <si>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</si>
  <si>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</si>
  <si>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</si>
  <si>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</si>
  <si>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</si>
  <si>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</si>
  <si>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</si>
  <si>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</si>
  <si>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</si>
  <si>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</si>
  <si>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</si>
  <si>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</si>
  <si>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</si>
  <si>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</si>
  <si>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</si>
  <si>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</si>
  <si>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</si>
  <si>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</si>
  <si>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</si>
  <si>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</si>
  <si>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</si>
  <si>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</si>
  <si>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</si>
  <si>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</si>
  <si>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</si>
  <si>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</si>
  <si>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</si>
  <si>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</si>
  <si>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</si>
  <si>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</si>
  <si>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</si>
  <si>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</si>
  <si>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</si>
  <si>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</si>
  <si>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</si>
  <si>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</si>
  <si>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</si>
  <si>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</si>
  <si>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</si>
  <si>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</si>
  <si>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</si>
  <si>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</si>
  <si>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</si>
  <si>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</si>
  <si>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</si>
  <si>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</si>
  <si>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</si>
  <si>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</si>
  <si>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</si>
  <si>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</si>
  <si>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</si>
  <si>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</si>
  <si>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</si>
  <si>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</si>
  <si>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</si>
  <si>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</si>
  <si>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</si>
  <si>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</si>
  <si>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</si>
  <si>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</si>
  <si>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</si>
  <si>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</si>
  <si>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</si>
  <si>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</si>
  <si>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</si>
  <si>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</si>
  <si>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</si>
  <si>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</si>
  <si>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</si>
  <si>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</si>
  <si>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</si>
  <si>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</si>
  <si>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</si>
  <si>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</si>
  <si>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</si>
  <si>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</si>
  <si>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</si>
  <si>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</si>
  <si>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</si>
  <si>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</si>
  <si>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</si>
  <si>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</si>
  <si>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</si>
  <si>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</si>
  <si>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</si>
  <si>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</si>
  <si>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</si>
  <si>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</si>
  <si>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</si>
  <si>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</si>
  <si>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</si>
  <si>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</si>
  <si>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</si>
  <si>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</si>
  <si>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</si>
  <si>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</si>
  <si>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</si>
  <si>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</si>
  <si>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</si>
  <si>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</si>
  <si>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</si>
  <si>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</si>
  <si>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</si>
  <si>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</si>
  <si>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</si>
  <si>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</si>
  <si>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</si>
  <si>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</si>
  <si>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</si>
  <si>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</si>
  <si>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</si>
  <si>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</si>
  <si>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</si>
  <si>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</si>
  <si>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</si>
  <si>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</si>
  <si>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</si>
  <si>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</si>
  <si>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</si>
  <si>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</si>
  <si>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</si>
  <si>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</si>
  <si>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</si>
  <si>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</si>
  <si>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</si>
  <si>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</si>
  <si>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</si>
  <si>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</si>
  <si>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</si>
  <si>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</si>
  <si>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</si>
  <si>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</si>
  <si>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</si>
  <si>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</si>
  <si>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</si>
  <si>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</si>
  <si>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</si>
  <si>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</si>
  <si>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</si>
  <si>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</si>
  <si>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</si>
  <si>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</si>
  <si>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</si>
  <si>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</si>
  <si>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</si>
  <si>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</si>
  <si>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</si>
  <si>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</si>
  <si>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</si>
  <si>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</si>
  <si>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</si>
  <si>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</si>
  <si>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</si>
  <si>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</si>
  <si>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</si>
  <si>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</si>
  <si>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</si>
  <si>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</si>
  <si>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</si>
  <si>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</si>
  <si>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</si>
  <si>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</si>
  <si>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</si>
  <si>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</si>
  <si>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</si>
  <si>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</si>
  <si>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</si>
  <si>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</si>
  <si>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</si>
  <si>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</si>
  <si>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</si>
  <si>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</si>
  <si>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</si>
  <si>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</si>
  <si>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</si>
  <si>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</si>
  <si>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</si>
  <si>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</si>
  <si>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</si>
  <si>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</si>
  <si>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</si>
  <si>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</si>
  <si>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</si>
  <si>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</si>
  <si>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</si>
  <si>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</si>
  <si>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</si>
  <si>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</si>
  <si>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</si>
  <si>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</si>
  <si>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</si>
  <si>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</si>
  <si>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</si>
  <si>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</si>
  <si>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</si>
  <si>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</si>
  <si>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</si>
  <si>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</si>
  <si>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</si>
  <si>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</si>
  <si>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</si>
  <si>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</si>
  <si>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</si>
  <si>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</si>
  <si>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</si>
  <si>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</si>
  <si>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</si>
  <si>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</si>
  <si>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</si>
  <si>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</si>
  <si>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</si>
  <si>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</si>
  <si>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</si>
  <si>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</si>
  <si>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</si>
  <si>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</si>
  <si>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</si>
  <si>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</si>
  <si>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</si>
  <si>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</si>
  <si>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</si>
  <si>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</si>
  <si>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</si>
  <si>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</si>
  <si>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</si>
  <si>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</si>
  <si>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</si>
  <si>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</si>
  <si>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</si>
  <si>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</si>
  <si>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</si>
  <si>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</si>
  <si>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</si>
  <si>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</si>
  <si>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</si>
  <si>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</si>
  <si>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</si>
  <si>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</si>
  <si>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</si>
  <si>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</si>
  <si>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</si>
  <si>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</si>
  <si>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</si>
  <si>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</si>
  <si>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</si>
  <si>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</si>
  <si>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</si>
  <si>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</si>
  <si>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</si>
  <si>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</si>
  <si>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</si>
  <si>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</si>
  <si>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</si>
  <si>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</si>
  <si>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</si>
  <si>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</si>
  <si>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</si>
  <si>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</si>
  <si>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</si>
  <si>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</si>
  <si>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</si>
  <si>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</si>
  <si>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</si>
  <si>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</si>
  <si>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</si>
  <si>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</si>
  <si>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</si>
  <si>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</si>
  <si>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</si>
  <si>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</si>
  <si>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</si>
  <si>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</si>
  <si>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</si>
  <si>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</si>
  <si>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</si>
  <si>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</si>
  <si>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</si>
  <si>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</si>
  <si>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</si>
  <si>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</si>
  <si>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</si>
  <si>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</si>
  <si>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</si>
  <si>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</si>
  <si>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</si>
  <si>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</si>
  <si>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</si>
  <si>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</si>
  <si>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</si>
  <si>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</si>
  <si>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</si>
  <si>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</si>
  <si>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</si>
  <si>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</si>
  <si>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</si>
  <si>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</si>
  <si>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</si>
  <si>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</si>
  <si>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</si>
  <si>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</si>
  <si>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</si>
  <si>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</si>
  <si>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</si>
  <si>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</si>
  <si>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</si>
  <si>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</si>
  <si>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</si>
  <si>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</si>
  <si>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</si>
  <si>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</si>
  <si>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</si>
  <si>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</si>
  <si>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</si>
  <si>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</si>
  <si>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</si>
  <si>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</si>
  <si>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</si>
  <si>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</si>
  <si>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</si>
  <si>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</si>
  <si>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</si>
  <si>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</si>
  <si>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</si>
  <si>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</si>
  <si>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</si>
  <si>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</si>
  <si>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</si>
  <si>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</si>
  <si>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</si>
  <si>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</si>
  <si>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</si>
  <si>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</si>
  <si>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</si>
  <si>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</si>
  <si>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</si>
  <si>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</si>
  <si>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</si>
  <si>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</si>
  <si>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</si>
  <si>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</si>
  <si>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</si>
  <si>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</si>
  <si>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</si>
  <si>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</si>
  <si>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</si>
  <si>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</si>
  <si>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</si>
  <si>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</si>
  <si>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</si>
  <si>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</si>
  <si>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</si>
  <si>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</si>
  <si>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</si>
  <si>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</si>
  <si>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</si>
  <si>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</si>
  <si>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</si>
  <si>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</si>
  <si>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</si>
  <si>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</si>
  <si>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</si>
  <si>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</si>
  <si>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</si>
  <si>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</si>
  <si>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</si>
  <si>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</si>
  <si>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</si>
  <si>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</si>
  <si>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</si>
  <si>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</si>
  <si>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</si>
  <si>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</si>
  <si>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</si>
  <si>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</si>
  <si>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</si>
  <si>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</si>
  <si>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</si>
  <si>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</si>
  <si>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</si>
  <si>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</si>
  <si>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</si>
  <si>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</si>
  <si>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</si>
  <si>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</si>
  <si>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</si>
  <si>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</si>
  <si>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</si>
  <si>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</si>
  <si>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</si>
  <si>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</si>
  <si>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</si>
  <si>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</si>
  <si>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</si>
  <si>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</si>
  <si>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</si>
  <si>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</si>
  <si>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</si>
  <si>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</si>
  <si>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</si>
  <si>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</si>
  <si>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</si>
  <si>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</si>
  <si>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</si>
  <si>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</si>
  <si>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</si>
  <si>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</si>
  <si>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</si>
  <si>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</si>
  <si>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</si>
  <si>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</si>
  <si>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</si>
  <si>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</si>
  <si>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</si>
  <si>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</si>
  <si>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</si>
  <si>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</si>
  <si>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</si>
  <si>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</si>
  <si>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</si>
  <si>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</si>
  <si>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</si>
  <si>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</si>
  <si>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</si>
  <si>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</si>
  <si>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</si>
  <si>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</si>
  <si>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</si>
  <si>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</si>
  <si>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</si>
  <si>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</si>
  <si>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</si>
  <si>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</si>
  <si>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</si>
  <si>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</si>
  <si>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</si>
  <si>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</si>
  <si>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</si>
  <si>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</si>
  <si>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</si>
  <si>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</si>
  <si>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</si>
  <si>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</si>
  <si>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</si>
  <si>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</si>
  <si>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</si>
  <si>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</si>
  <si>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</si>
  <si>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</si>
  <si>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</si>
  <si>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</si>
  <si>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</si>
  <si>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</si>
  <si>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</si>
  <si>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</si>
  <si>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</si>
  <si>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</si>
  <si>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</si>
  <si>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</si>
  <si>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</si>
  <si>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</si>
  <si>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</si>
  <si>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</si>
  <si>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</si>
  <si>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</si>
  <si>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</si>
  <si>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</si>
  <si>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</si>
  <si>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</si>
  <si>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</si>
  <si>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</si>
  <si>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</si>
  <si>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</si>
  <si>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</si>
  <si>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</si>
  <si>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</si>
  <si>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</si>
  <si>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</si>
  <si>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</si>
  <si>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</si>
  <si>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</si>
  <si>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</si>
  <si>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</si>
  <si>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</si>
  <si>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</si>
  <si>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</si>
  <si>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</si>
  <si>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</si>
  <si>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</si>
  <si>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</si>
  <si>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</si>
  <si>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</si>
  <si>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</si>
  <si>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</si>
  <si>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</si>
  <si>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</si>
  <si>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</si>
  <si>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</si>
  <si>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</si>
  <si>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</si>
  <si>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</si>
  <si>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</si>
  <si>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</si>
  <si>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</si>
  <si>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</si>
  <si>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</si>
  <si>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</si>
  <si>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</si>
  <si>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</si>
  <si>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</si>
  <si>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</si>
  <si>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</si>
  <si>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</si>
  <si>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</si>
  <si>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</si>
  <si>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</si>
  <si>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</si>
  <si>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</si>
  <si>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</si>
  <si>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</si>
  <si>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</si>
  <si>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</si>
  <si>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</si>
  <si>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</si>
  <si>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</si>
  <si>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</si>
  <si>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</si>
  <si>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</si>
  <si>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</si>
  <si>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</si>
  <si>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</si>
  <si>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</si>
  <si>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</si>
  <si>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</si>
  <si>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</si>
  <si>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</si>
  <si>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</si>
  <si>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</si>
  <si>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</si>
  <si>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</si>
  <si>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</si>
  <si>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</si>
  <si>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</si>
  <si>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</si>
  <si>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</si>
  <si>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</si>
  <si>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</si>
  <si>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</si>
  <si>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</si>
  <si>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</si>
  <si>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</si>
  <si>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</si>
  <si>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</si>
  <si>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</si>
  <si>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</si>
  <si>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</si>
  <si>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</si>
  <si>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</si>
  <si>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</si>
  <si>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</si>
  <si>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</si>
  <si>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</si>
  <si>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</si>
  <si>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</si>
  <si>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</si>
  <si>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</si>
  <si>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</si>
  <si>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</si>
  <si>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</si>
  <si>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</si>
  <si>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</si>
  <si>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</si>
  <si>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</si>
  <si>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</si>
  <si>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</si>
  <si>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</si>
  <si>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</si>
  <si>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</si>
  <si>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</si>
  <si>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</si>
  <si>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</si>
  <si>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</si>
  <si>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</si>
  <si>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</si>
  <si>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</si>
  <si>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</si>
  <si>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</si>
  <si>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</si>
  <si>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</si>
  <si>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</si>
  <si>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</si>
  <si>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</si>
  <si>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</si>
  <si>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</si>
  <si>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</si>
  <si>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</si>
  <si>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</si>
  <si>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</si>
  <si>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</si>
  <si>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</si>
  <si>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</si>
  <si>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</si>
  <si>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</si>
  <si>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</si>
  <si>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</si>
  <si>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</si>
  <si>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</si>
  <si>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</si>
  <si>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</si>
  <si>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</si>
  <si>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</si>
  <si>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</si>
  <si>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</si>
  <si>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</si>
  <si>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</si>
  <si>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</si>
  <si>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</si>
  <si>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</si>
  <si>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</si>
  <si>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</si>
  <si>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</si>
  <si>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</si>
  <si>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</si>
  <si>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</si>
  <si>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</si>
  <si>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</si>
  <si>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</si>
  <si>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</si>
  <si>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</si>
  <si>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</si>
  <si>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</si>
  <si>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</si>
  <si>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</si>
  <si>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</si>
  <si>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</si>
  <si>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</si>
  <si>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</si>
  <si>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</si>
  <si>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</si>
  <si>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</si>
  <si>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</si>
  <si>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</si>
  <si>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</si>
  <si>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</si>
  <si>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</si>
  <si>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</si>
  <si>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</si>
  <si>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</si>
  <si>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</si>
  <si>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</si>
  <si>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</si>
  <si>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</si>
  <si>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</si>
  <si>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</si>
  <si>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</si>
  <si>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</si>
  <si>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</si>
  <si>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</si>
  <si>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</si>
  <si>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</si>
  <si>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</si>
  <si>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</si>
  <si>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</si>
  <si>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</si>
  <si>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</si>
  <si>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</si>
  <si>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</si>
  <si>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</si>
  <si>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</si>
  <si>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</si>
  <si>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</si>
  <si>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</si>
  <si>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</si>
  <si>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</si>
  <si>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</si>
  <si>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</si>
  <si>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</si>
  <si>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</si>
  <si>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</si>
  <si>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</si>
  <si>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</si>
  <si>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</si>
  <si>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</si>
  <si>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</si>
  <si>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</si>
  <si>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</si>
  <si>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</si>
  <si>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</si>
  <si>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</si>
  <si>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</si>
  <si>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</si>
  <si>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</si>
  <si>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</si>
  <si>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</si>
  <si>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</si>
  <si>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</si>
  <si>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</si>
  <si>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</si>
  <si>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</si>
  <si>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</si>
  <si>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</si>
  <si>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</si>
  <si>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</si>
  <si>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</si>
  <si>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</si>
  <si>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</si>
  <si>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</si>
  <si>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</si>
  <si>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</si>
  <si>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</si>
  <si>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</si>
  <si>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</si>
  <si>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</si>
  <si>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</si>
  <si>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</si>
  <si>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</si>
  <si>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</si>
  <si>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</si>
  <si>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</si>
  <si>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</si>
  <si>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</si>
  <si>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</si>
  <si>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</si>
  <si>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</si>
  <si>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</si>
  <si>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</si>
  <si>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</si>
  <si>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</si>
  <si>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</si>
  <si>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</si>
  <si>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</si>
  <si>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</si>
  <si>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</si>
  <si>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</si>
  <si>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</si>
  <si>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</si>
  <si>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</si>
  <si>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</si>
  <si>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</si>
  <si>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</si>
  <si>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</si>
  <si>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</si>
  <si>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</si>
  <si>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</si>
  <si>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</si>
  <si>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</si>
  <si>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</si>
  <si>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</si>
  <si>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</si>
  <si>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</si>
  <si>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</si>
  <si>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</si>
  <si>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</si>
  <si>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</si>
  <si>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</si>
  <si>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</si>
  <si>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</si>
  <si>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</si>
  <si>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</si>
  <si>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</si>
  <si>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</si>
  <si>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</si>
  <si>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</si>
  <si>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</si>
  <si>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</si>
  <si>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</si>
  <si>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</si>
  <si>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</si>
  <si>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</si>
  <si>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</si>
  <si>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</si>
  <si>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</si>
  <si>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</si>
  <si>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</si>
  <si>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</si>
  <si>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</si>
  <si>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</si>
  <si>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</si>
  <si>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</si>
  <si>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</si>
  <si>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</si>
  <si>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</si>
  <si>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</si>
  <si>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</si>
  <si>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</si>
  <si>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</si>
  <si>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</si>
  <si>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</si>
  <si>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</si>
  <si>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</si>
  <si>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</si>
  <si>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</si>
  <si>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</si>
  <si>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</si>
  <si>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</si>
  <si>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</si>
  <si>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</si>
  <si>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</si>
  <si>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</si>
  <si>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</si>
  <si>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</si>
  <si>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</si>
  <si>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</si>
  <si>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</si>
  <si>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</si>
  <si>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</si>
  <si>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</si>
  <si>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</si>
  <si>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</si>
  <si>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</si>
  <si>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</si>
  <si>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</si>
  <si>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</si>
  <si>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</si>
  <si>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</si>
  <si>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</si>
  <si>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</si>
  <si>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</si>
  <si>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</si>
  <si>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</si>
  <si>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</si>
  <si>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</si>
  <si>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</si>
  <si>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</si>
  <si>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</si>
  <si>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</si>
  <si>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</si>
  <si>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</si>
  <si>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</si>
  <si>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</si>
  <si>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</si>
  <si>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</si>
  <si>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</si>
  <si>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</si>
  <si>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</si>
  <si>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</si>
  <si>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</si>
  <si>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</si>
  <si>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</si>
  <si>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</si>
  <si>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</si>
  <si>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</si>
  <si>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</si>
  <si>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</si>
  <si>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</si>
  <si>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</si>
  <si>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</si>
  <si>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</si>
  <si>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</si>
  <si>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</si>
  <si>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</si>
  <si>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</si>
  <si>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</si>
  <si>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</si>
  <si>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</si>
  <si>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</si>
  <si>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</si>
  <si>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</si>
  <si>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</si>
  <si>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</si>
  <si>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</si>
  <si>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</si>
  <si>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</si>
  <si>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</si>
  <si>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</si>
  <si>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</si>
  <si>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</si>
  <si>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</si>
  <si>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</si>
  <si>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</si>
  <si>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</si>
  <si>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</si>
  <si>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</si>
  <si>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</si>
  <si>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</si>
  <si>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</si>
  <si>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</si>
  <si>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</si>
  <si>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</si>
  <si>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</si>
  <si>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</si>
  <si>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</si>
  <si>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</si>
  <si>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</si>
  <si>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</si>
  <si>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</si>
  <si>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</si>
  <si>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</si>
  <si>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</si>
  <si>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</si>
  <si>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</si>
  <si>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</si>
  <si>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</si>
  <si>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</si>
  <si>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</si>
  <si>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</si>
  <si>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</si>
  <si>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</si>
  <si>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</si>
  <si>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</si>
  <si>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</si>
  <si>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</si>
  <si>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</si>
  <si>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</si>
  <si>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</si>
  <si>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</si>
  <si>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</si>
  <si>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</si>
  <si>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</si>
  <si>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</si>
  <si>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</si>
  <si>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</si>
  <si>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</si>
  <si>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</si>
  <si>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</si>
  <si>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</si>
  <si>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</si>
  <si>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</si>
  <si>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</si>
  <si>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</si>
  <si>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</si>
  <si>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</si>
  <si>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</si>
  <si>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</si>
  <si>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</si>
  <si>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</si>
  <si>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</si>
  <si>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</si>
  <si>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</si>
  <si>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</si>
  <si>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</si>
  <si>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</si>
  <si>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</si>
  <si>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</si>
  <si>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</si>
  <si>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</si>
  <si>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</si>
  <si>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</si>
  <si>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</si>
  <si>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</si>
  <si>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</si>
  <si>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</si>
  <si>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</si>
  <si>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</si>
  <si>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</si>
  <si>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</si>
  <si>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</si>
  <si>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</si>
  <si>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</si>
  <si>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</si>
  <si>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</si>
  <si>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</si>
  <si>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</si>
  <si>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</si>
  <si>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</si>
  <si>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</si>
  <si>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</si>
  <si>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</si>
  <si>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</si>
  <si>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</si>
  <si>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</si>
  <si>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</si>
  <si>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</si>
  <si>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</si>
  <si>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</si>
  <si>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</si>
  <si>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</si>
  <si>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</si>
  <si>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</si>
  <si>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</si>
  <si>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</si>
  <si>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</si>
  <si>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</si>
  <si>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</si>
  <si>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</si>
  <si>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</si>
  <si>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</si>
  <si>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</si>
  <si>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</si>
  <si>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</si>
  <si>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</si>
  <si>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</si>
  <si>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</si>
  <si>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</si>
  <si>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</si>
  <si>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</si>
  <si>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</si>
  <si>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</si>
  <si>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</si>
  <si>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</si>
  <si>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</si>
  <si>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</si>
  <si>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</si>
  <si>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</si>
  <si>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</si>
  <si>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</si>
  <si>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</si>
  <si>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</si>
  <si>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</si>
  <si>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</si>
  <si>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</si>
  <si>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</si>
  <si>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</si>
  <si>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</si>
  <si>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</si>
  <si>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</si>
  <si>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</si>
  <si>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</si>
  <si>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</si>
  <si>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</si>
  <si>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</si>
  <si>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</si>
  <si>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</si>
  <si>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</si>
  <si>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</si>
  <si>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</si>
  <si>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</si>
  <si>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</si>
  <si>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</si>
  <si>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</si>
  <si>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</si>
  <si>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</si>
  <si>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</si>
  <si>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</si>
  <si>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</si>
  <si>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</si>
  <si>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</si>
  <si>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</si>
  <si>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</si>
  <si>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</si>
  <si>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</si>
  <si>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</si>
  <si>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</si>
  <si>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</si>
  <si>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</si>
  <si>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</si>
  <si>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</si>
  <si>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</si>
  <si>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</si>
  <si>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</si>
  <si>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</si>
  <si>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</si>
  <si>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</si>
  <si>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</si>
  <si>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</si>
  <si>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</si>
  <si>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</si>
  <si>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</si>
  <si>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</si>
  <si>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</si>
  <si>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</si>
  <si>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</si>
  <si>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</si>
  <si>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</si>
  <si>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</si>
  <si>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</si>
  <si>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</si>
  <si>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</si>
  <si>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</si>
  <si>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</si>
  <si>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</si>
  <si>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</si>
  <si>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</si>
  <si>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</si>
  <si>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</si>
  <si>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</si>
  <si>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</si>
  <si>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</si>
  <si>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</si>
  <si>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</si>
  <si>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</si>
  <si>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</si>
  <si>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</si>
  <si>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</si>
  <si>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</si>
  <si>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</si>
  <si>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</si>
  <si>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</si>
  <si>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</si>
  <si>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</si>
  <si>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</si>
  <si>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</si>
  <si>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</si>
  <si>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</si>
  <si>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</si>
  <si>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</si>
  <si>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</si>
  <si>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</si>
  <si>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</si>
  <si>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</si>
  <si>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</si>
  <si>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</si>
  <si>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</si>
  <si>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</si>
  <si>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</si>
  <si>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</si>
  <si>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</si>
  <si>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</si>
  <si>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</si>
  <si>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</si>
  <si>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</si>
  <si>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</si>
  <si>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</si>
  <si>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</si>
  <si>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</si>
  <si>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</si>
  <si>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</si>
  <si>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</si>
  <si>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</si>
  <si>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</si>
  <si>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</si>
  <si>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</si>
  <si>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</si>
  <si>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</si>
  <si>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</si>
  <si>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</si>
  <si>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</si>
  <si>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</si>
  <si>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</si>
  <si>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</si>
  <si>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</si>
  <si>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</si>
  <si>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</si>
  <si>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</si>
  <si>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</si>
  <si>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</si>
  <si>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</si>
  <si>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</si>
  <si>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</si>
  <si>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</si>
  <si>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</si>
  <si>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</si>
  <si>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</si>
  <si>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</si>
  <si>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</si>
  <si>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</si>
  <si>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</si>
  <si>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</si>
  <si>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</si>
  <si>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</si>
  <si>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</si>
  <si>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</si>
  <si>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</si>
  <si>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</si>
  <si>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</si>
  <si>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</si>
  <si>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</si>
  <si>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</si>
  <si>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</si>
  <si>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</si>
  <si>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</si>
  <si>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</si>
  <si>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</si>
  <si>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</si>
  <si>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</si>
  <si>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</si>
  <si>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</si>
  <si>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</si>
  <si>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</si>
  <si>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</si>
  <si>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</si>
  <si>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</si>
  <si>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</si>
  <si>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</si>
  <si>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</si>
  <si>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</si>
  <si>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</si>
  <si>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</si>
  <si>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</si>
  <si>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</si>
  <si>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</si>
  <si>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</si>
  <si>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</si>
  <si>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</si>
  <si>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</si>
  <si>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</si>
  <si>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</si>
  <si>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</si>
  <si>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</si>
  <si>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</si>
  <si>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</si>
  <si>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</si>
  <si>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</si>
  <si>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</si>
  <si>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</si>
  <si>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</si>
  <si>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</si>
  <si>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</si>
  <si>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</si>
  <si>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</si>
  <si>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</si>
  <si>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</si>
  <si>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</si>
  <si>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</si>
  <si>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</si>
  <si>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</si>
  <si>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</si>
  <si>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</si>
  <si>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</si>
  <si>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</si>
  <si>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</si>
  <si>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</si>
  <si>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</si>
  <si>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</si>
  <si>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</si>
  <si>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</si>
  <si>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</si>
  <si>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</si>
  <si>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</si>
  <si>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</si>
  <si>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</si>
  <si>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</si>
  <si>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</si>
  <si>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</si>
  <si>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</si>
  <si>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</si>
  <si>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</si>
  <si>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</si>
  <si>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</si>
  <si>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</si>
  <si>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</si>
  <si>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</si>
  <si>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</si>
  <si>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</si>
  <si>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</si>
  <si>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</si>
  <si>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</si>
  <si>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</si>
  <si>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</si>
  <si>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</si>
  <si>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</si>
  <si>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</si>
  <si>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</si>
  <si>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</si>
  <si>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</si>
  <si>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</si>
  <si>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</si>
  <si>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</si>
  <si>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</si>
  <si>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</si>
  <si>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</si>
  <si>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</si>
  <si>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</si>
  <si>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</si>
  <si>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</si>
  <si>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</si>
  <si>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</si>
  <si>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</si>
  <si>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</si>
  <si>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</si>
  <si>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</si>
  <si>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</si>
  <si>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</si>
  <si>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</si>
  <si>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</si>
  <si>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</si>
  <si>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</si>
  <si>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</si>
  <si>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</si>
  <si>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</si>
  <si>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</si>
  <si>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</si>
  <si>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</si>
  <si>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</si>
  <si>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</si>
  <si>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</si>
  <si>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</si>
  <si>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</si>
  <si>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</si>
  <si>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</si>
  <si>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</si>
  <si>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</si>
  <si>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</si>
  <si>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</si>
  <si>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</si>
  <si>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</si>
  <si>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</si>
  <si>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</si>
  <si>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</si>
  <si>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</si>
  <si>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</si>
  <si>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</si>
  <si>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</si>
  <si>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</si>
  <si>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</si>
  <si>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</si>
  <si>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</si>
  <si>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</si>
  <si>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</si>
  <si>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</si>
  <si>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</si>
  <si>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</si>
  <si>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</si>
  <si>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</si>
  <si>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</si>
  <si>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</si>
  <si>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</si>
  <si>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</si>
  <si>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</si>
  <si>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</si>
  <si>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</si>
  <si>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</si>
  <si>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</si>
  <si>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</si>
  <si>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</si>
  <si>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</si>
  <si>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</si>
  <si>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</si>
  <si>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</si>
  <si>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</si>
  <si>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</si>
  <si>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</si>
  <si>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</si>
  <si>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</si>
  <si>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</si>
  <si>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</si>
  <si>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</si>
  <si>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</si>
  <si>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</si>
  <si>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</si>
  <si>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</si>
  <si>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</si>
  <si>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</si>
  <si>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</si>
  <si>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</si>
  <si>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</si>
  <si>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</si>
  <si>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</si>
  <si>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</si>
  <si>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</si>
  <si>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</si>
  <si>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</si>
  <si>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</si>
  <si>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</si>
  <si>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</si>
  <si>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</si>
  <si>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</si>
  <si>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</si>
  <si>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</si>
  <si>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</si>
  <si>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</si>
  <si>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</si>
  <si>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</si>
  <si>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</si>
  <si>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</si>
  <si>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</si>
  <si>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</si>
  <si>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</si>
  <si>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</si>
  <si>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</si>
  <si>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</si>
  <si>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</si>
  <si>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</si>
  <si>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</si>
  <si>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</si>
  <si>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</si>
  <si>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</si>
  <si>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</si>
  <si>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</si>
  <si>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</si>
  <si>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</si>
  <si>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</si>
  <si>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</si>
  <si>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</si>
  <si>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</si>
  <si>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</si>
  <si>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</si>
  <si>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</si>
  <si>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</si>
  <si>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</si>
  <si>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</si>
  <si>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</si>
  <si>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</si>
  <si>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</si>
  <si>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</si>
  <si>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</si>
  <si>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</si>
  <si>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</si>
  <si>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</si>
  <si>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</si>
  <si>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</si>
  <si>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</si>
  <si>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</si>
  <si>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</si>
  <si>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</si>
  <si>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</si>
  <si>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</si>
  <si>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</si>
  <si>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</si>
  <si>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</si>
  <si>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</si>
  <si>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</si>
  <si>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</si>
  <si>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</si>
  <si>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</si>
  <si>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</si>
  <si>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</si>
  <si>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</si>
  <si>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</si>
  <si>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</si>
  <si>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</si>
  <si>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</si>
  <si>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</si>
  <si>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</si>
  <si>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</si>
  <si>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</si>
  <si>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</si>
  <si>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</si>
  <si>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</si>
  <si>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</si>
  <si>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</si>
  <si>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</si>
  <si>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</si>
  <si>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</si>
  <si>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</si>
  <si>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</si>
  <si>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</si>
  <si>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</si>
  <si>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</si>
  <si>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</si>
  <si>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</si>
  <si>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</si>
  <si>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</si>
  <si>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</si>
  <si>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</si>
  <si>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</si>
  <si>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</si>
  <si>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</si>
  <si>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</si>
  <si>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</si>
  <si>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</si>
  <si>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</si>
  <si>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</si>
  <si>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</si>
  <si>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</si>
  <si>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</si>
  <si>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</si>
  <si>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</si>
  <si>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</si>
  <si>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</si>
  <si>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</si>
  <si>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</si>
  <si>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</si>
  <si>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</si>
  <si>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</si>
  <si>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</si>
  <si>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</si>
  <si>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</si>
  <si>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</si>
  <si>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</si>
  <si>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</si>
  <si>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</si>
  <si>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</si>
  <si>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</si>
  <si>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</si>
  <si>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</si>
  <si>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</si>
  <si>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</si>
  <si>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</si>
  <si>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</si>
  <si>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</si>
  <si>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</si>
  <si>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</si>
  <si>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</si>
  <si>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</si>
  <si>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</si>
  <si>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</si>
  <si>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</si>
  <si>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</si>
  <si>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</si>
  <si>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</si>
  <si>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</si>
  <si>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</si>
  <si>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</si>
  <si>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</si>
  <si>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</si>
  <si>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</si>
  <si>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</si>
  <si>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</si>
  <si>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</si>
  <si>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</si>
  <si>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</si>
  <si>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</si>
  <si>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</si>
  <si>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</si>
  <si>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</si>
  <si>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</si>
  <si>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</si>
  <si>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</si>
  <si>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</si>
  <si>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</si>
  <si>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</si>
  <si>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</si>
  <si>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</si>
  <si>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</si>
  <si>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</si>
  <si>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</si>
  <si>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</si>
  <si>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</si>
  <si>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</si>
  <si>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</si>
  <si>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</si>
  <si>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</si>
  <si>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</si>
  <si>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</si>
  <si>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</si>
  <si>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</si>
  <si>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</si>
  <si>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</si>
  <si>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</si>
  <si>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</si>
  <si>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</si>
  <si>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</si>
  <si>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</si>
  <si>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</si>
  <si>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</si>
  <si>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</si>
  <si>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</si>
  <si>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</si>
  <si>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</si>
  <si>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</si>
  <si>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</si>
  <si>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</si>
  <si>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</si>
  <si>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</si>
  <si>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</si>
  <si>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</si>
  <si>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</si>
  <si>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</si>
  <si>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</si>
  <si>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</si>
  <si>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</si>
  <si>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</si>
  <si>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</si>
  <si>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</si>
  <si>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</si>
  <si>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</si>
  <si>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</si>
  <si>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</si>
  <si>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</si>
  <si>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</si>
  <si>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</si>
  <si>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</si>
  <si>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</si>
  <si>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</si>
  <si>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</si>
  <si>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</si>
  <si>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</si>
  <si>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</si>
  <si>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</si>
  <si>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</si>
  <si>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</si>
  <si>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</si>
  <si>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</si>
  <si>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</si>
  <si>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</si>
  <si>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</si>
  <si>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</si>
  <si>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</si>
  <si>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</si>
  <si>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</si>
  <si>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</si>
  <si>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</si>
  <si>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</si>
  <si>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</si>
  <si>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</si>
  <si>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</si>
  <si>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</si>
  <si>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</si>
  <si>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</si>
  <si>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</si>
  <si>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</si>
  <si>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</si>
  <si>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</si>
  <si>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</si>
  <si>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</si>
  <si>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</si>
  <si>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</si>
  <si>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</si>
  <si>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</si>
  <si>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</si>
  <si>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</si>
  <si>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</si>
  <si>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</si>
  <si>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</si>
  <si>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</si>
  <si>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</si>
  <si>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</si>
  <si>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</si>
  <si>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</si>
  <si>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</si>
  <si>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</si>
  <si>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</si>
  <si>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</si>
  <si>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</si>
  <si>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</si>
  <si>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</si>
  <si>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</si>
  <si>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</si>
  <si>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</si>
  <si>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</si>
  <si>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</si>
  <si>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</si>
  <si>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</si>
  <si>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</si>
  <si>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</si>
  <si>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</si>
  <si>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</si>
  <si>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</si>
  <si>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</si>
  <si>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</si>
  <si>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</si>
  <si>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</si>
  <si>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</si>
  <si>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</si>
  <si>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</si>
  <si>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</si>
  <si>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</si>
  <si>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</si>
  <si>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</si>
  <si>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</si>
  <si>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</si>
  <si>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</si>
  <si>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</si>
  <si>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</si>
  <si>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</si>
  <si>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</si>
  <si>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</si>
  <si>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</si>
  <si>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</si>
  <si>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</si>
  <si>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</si>
  <si>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</si>
  <si>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</si>
  <si>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</si>
  <si>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</si>
  <si>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</si>
  <si>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</si>
  <si>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</si>
  <si>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</si>
  <si>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</si>
  <si>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</si>
  <si>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</si>
  <si>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</si>
  <si>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</si>
  <si>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</si>
  <si>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</si>
  <si>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</si>
  <si>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</si>
  <si>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</si>
  <si>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</si>
  <si>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</si>
  <si>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</si>
  <si>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</si>
  <si>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</si>
  <si>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</si>
  <si>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</si>
  <si>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</si>
  <si>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</si>
  <si>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</si>
  <si>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</si>
  <si>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</si>
  <si>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</si>
  <si>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</si>
  <si>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</si>
  <si>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</si>
  <si>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</si>
  <si>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</si>
  <si>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</si>
  <si>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</si>
  <si>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</si>
  <si>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</si>
  <si>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</si>
  <si>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</si>
  <si>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</si>
  <si>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</si>
  <si>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</si>
  <si>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</si>
  <si>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</si>
  <si>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</si>
  <si>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</si>
  <si>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</si>
  <si>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</si>
  <si>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</si>
  <si>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</si>
  <si>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</si>
  <si>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</si>
  <si>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</si>
  <si>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</si>
  <si>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</si>
  <si>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</si>
  <si>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</si>
  <si>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</si>
  <si>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</si>
  <si>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</si>
  <si>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</si>
  <si>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</si>
  <si>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</si>
  <si>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</si>
  <si>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</si>
  <si>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</si>
  <si>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</si>
  <si>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</si>
  <si>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</si>
  <si>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</si>
  <si>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</si>
  <si>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</si>
  <si>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</si>
  <si>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</si>
  <si>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</si>
  <si>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</si>
  <si>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</si>
  <si>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</si>
  <si>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</si>
  <si>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</si>
  <si>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</si>
  <si>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</si>
  <si>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</si>
  <si>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</si>
  <si>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</si>
  <si>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</si>
  <si>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</si>
  <si>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</si>
  <si>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</si>
  <si>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</si>
  <si>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</si>
  <si>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</si>
  <si>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</si>
  <si>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</si>
  <si>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</si>
  <si>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</si>
  <si>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</si>
  <si>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</si>
  <si>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</si>
  <si>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</si>
  <si>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</si>
  <si>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</si>
  <si>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</si>
  <si>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</si>
  <si>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</si>
  <si>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</si>
  <si>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</si>
  <si>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</si>
  <si>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</si>
  <si>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</si>
  <si>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</si>
  <si>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</si>
  <si>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</si>
  <si>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</si>
  <si>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</si>
  <si>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</si>
  <si>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</si>
  <si>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</si>
  <si>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</si>
  <si>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</si>
  <si>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</si>
  <si>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</si>
  <si>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</si>
  <si>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</si>
  <si>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</si>
  <si>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</si>
  <si>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</si>
  <si>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</si>
  <si>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</si>
  <si>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</si>
  <si>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</si>
  <si>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</si>
  <si>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</si>
  <si>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</si>
  <si>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</si>
  <si>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</si>
  <si>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</si>
  <si>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</si>
  <si>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</si>
  <si>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</si>
  <si>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</si>
  <si>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</si>
  <si>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</si>
  <si>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</si>
  <si>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</si>
  <si>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</si>
  <si>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</si>
  <si>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</si>
  <si>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</si>
  <si>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</si>
  <si>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</si>
  <si>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</si>
  <si>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</si>
  <si>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</si>
  <si>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</si>
  <si>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</si>
  <si>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</si>
  <si>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</si>
  <si>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</si>
  <si>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</si>
  <si>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</si>
  <si>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</si>
  <si>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</si>
  <si>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</si>
  <si>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</si>
  <si>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</si>
  <si>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</si>
  <si>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</si>
  <si>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</si>
  <si>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</si>
  <si>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</si>
  <si>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</si>
  <si>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</si>
  <si>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</si>
  <si>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</si>
  <si>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</si>
  <si>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</si>
  <si>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</si>
  <si>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</si>
  <si>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</si>
  <si>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</si>
  <si>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</si>
  <si>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</si>
  <si>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</si>
  <si>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</si>
  <si>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</si>
  <si>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</si>
  <si>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</si>
  <si>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</si>
  <si>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</si>
  <si>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</si>
  <si>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</si>
  <si>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</si>
  <si>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</si>
  <si>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</si>
  <si>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</si>
  <si>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</si>
  <si>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</si>
  <si>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</si>
  <si>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</si>
  <si>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</si>
  <si>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</si>
  <si>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</si>
  <si>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</si>
  <si>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</si>
  <si>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</si>
  <si>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</si>
  <si>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</si>
  <si>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</si>
  <si>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</si>
  <si>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</si>
  <si>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</si>
  <si>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</si>
  <si>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</si>
  <si>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</si>
  <si>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</si>
  <si>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</si>
  <si>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</si>
  <si>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</si>
  <si>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</si>
  <si>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</si>
  <si>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</si>
  <si>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</si>
  <si>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</si>
  <si>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</si>
  <si>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</si>
  <si>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</si>
  <si>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</si>
  <si>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</si>
  <si>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</si>
  <si>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</si>
  <si>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</si>
  <si>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</si>
  <si>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</si>
  <si>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</si>
  <si>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</si>
  <si>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</si>
  <si>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</si>
  <si>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</si>
  <si>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</si>
  <si>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</si>
  <si>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</si>
  <si>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</si>
  <si>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</si>
  <si>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</si>
  <si>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</si>
  <si>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</si>
  <si>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</si>
  <si>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</si>
  <si>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</si>
  <si>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</si>
  <si>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</si>
  <si>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</si>
  <si>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</si>
  <si>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</si>
  <si>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</si>
  <si>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</si>
  <si>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</si>
  <si>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</si>
  <si>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</si>
  <si>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</si>
  <si>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</si>
  <si>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</si>
  <si>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</si>
  <si>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</si>
  <si>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</si>
  <si>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</si>
  <si>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</si>
  <si>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</si>
  <si>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</si>
  <si>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</si>
  <si>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</si>
  <si>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</si>
  <si>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</si>
  <si>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</si>
  <si>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</si>
  <si>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</si>
  <si>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</si>
  <si>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</si>
  <si>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</si>
  <si>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</si>
  <si>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</si>
  <si>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</si>
  <si>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</si>
  <si>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</si>
  <si>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</si>
  <si>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</si>
  <si>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</si>
  <si>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</si>
  <si>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</si>
  <si>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</si>
  <si>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</si>
  <si>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</si>
  <si>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</si>
  <si>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</si>
  <si>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</si>
  <si>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</si>
  <si>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</si>
  <si>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</si>
  <si>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</si>
  <si>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</si>
  <si>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</si>
  <si>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</si>
  <si>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</si>
  <si>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</si>
  <si>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</si>
  <si>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</si>
  <si>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</si>
  <si>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</si>
  <si>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</si>
  <si>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</si>
  <si>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</si>
  <si>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</si>
  <si>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</si>
  <si>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</si>
  <si>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</si>
  <si>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</si>
  <si>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</si>
  <si>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</si>
  <si>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</si>
  <si>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</si>
  <si>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</si>
  <si>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</si>
  <si>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</si>
  <si>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</si>
  <si>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</si>
  <si>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</si>
  <si>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</si>
  <si>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</si>
  <si>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</si>
  <si>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</si>
  <si>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</si>
  <si>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</si>
  <si>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</si>
  <si>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</si>
  <si>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</si>
  <si>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</si>
  <si>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</si>
  <si>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</si>
  <si>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</si>
  <si>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</si>
  <si>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</si>
  <si>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</si>
  <si>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</si>
  <si>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</si>
  <si>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</si>
  <si>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</si>
  <si>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</si>
  <si>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</si>
  <si>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</si>
  <si>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</si>
  <si>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</si>
  <si>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</si>
  <si>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</si>
  <si>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</si>
  <si>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</si>
  <si>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</si>
  <si>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</si>
  <si>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</si>
  <si>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</si>
  <si>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</si>
  <si>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</si>
  <si>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</si>
  <si>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</si>
  <si>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</si>
  <si>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</si>
  <si>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</si>
  <si>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</si>
  <si>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</si>
  <si>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</si>
  <si>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</si>
  <si>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</si>
  <si>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</si>
  <si>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</si>
  <si>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</si>
  <si>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</si>
  <si>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</si>
  <si>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</si>
  <si>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</si>
  <si>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</si>
  <si>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</si>
  <si>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</si>
  <si>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</si>
  <si>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</si>
  <si>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</si>
  <si>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</si>
  <si>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</si>
  <si>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</si>
  <si>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</si>
  <si>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</si>
  <si>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</si>
  <si>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</si>
  <si>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</si>
  <si>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</si>
  <si>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</si>
  <si>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</si>
  <si>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</si>
  <si>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</si>
  <si>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</si>
  <si>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</si>
  <si>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</si>
  <si>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</si>
  <si>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</si>
  <si>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</si>
  <si>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</si>
  <si>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</si>
  <si>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</si>
  <si>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</si>
  <si>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</si>
  <si>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</si>
  <si>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</si>
  <si>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</si>
  <si>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</si>
  <si>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</si>
  <si>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</si>
  <si>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</si>
  <si>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</si>
  <si>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</si>
  <si>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</si>
  <si>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</si>
  <si>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</si>
  <si>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</si>
  <si>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</si>
  <si>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</si>
  <si>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</si>
  <si>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</si>
  <si>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</si>
  <si>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</si>
  <si>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</si>
  <si>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</si>
  <si>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</si>
  <si>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</si>
  <si>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</si>
  <si>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</si>
  <si>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</si>
  <si>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</si>
  <si>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</si>
  <si>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</si>
  <si>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</si>
  <si>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</si>
  <si>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</si>
  <si>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</si>
  <si>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</si>
  <si>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</si>
  <si>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</si>
  <si>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</si>
  <si>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</si>
  <si>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</si>
  <si>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</si>
  <si>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</si>
  <si>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</si>
  <si>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</si>
  <si>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</si>
  <si>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</si>
  <si>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</si>
  <si>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</si>
  <si>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</si>
  <si>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</si>
  <si>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</si>
  <si>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</si>
  <si>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</si>
  <si>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</si>
  <si>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</si>
  <si>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</si>
  <si>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</si>
  <si>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</si>
  <si>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</si>
  <si>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</si>
  <si>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</si>
  <si>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</si>
  <si>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</si>
  <si>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</si>
  <si>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</si>
  <si>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</si>
  <si>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</si>
  <si>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</si>
  <si>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</si>
  <si>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</si>
  <si>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</si>
  <si>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</si>
  <si>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</si>
  <si>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</si>
  <si>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</si>
  <si>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</si>
  <si>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</si>
  <si>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</si>
  <si>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</si>
  <si>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</si>
  <si>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</si>
  <si>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</si>
  <si>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</si>
  <si>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</si>
  <si>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</si>
  <si>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</si>
  <si>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</si>
  <si>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</si>
  <si>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</si>
  <si>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</si>
  <si>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</si>
  <si>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</si>
  <si>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</si>
  <si>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</si>
  <si>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</si>
  <si>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</si>
  <si>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</si>
  <si>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</si>
  <si>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</si>
  <si>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</si>
  <si>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</si>
  <si>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</si>
  <si>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</si>
  <si>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</si>
  <si>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</si>
  <si>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</si>
  <si>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</si>
  <si>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</si>
  <si>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</si>
  <si>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</si>
  <si>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</si>
  <si>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</si>
  <si>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</si>
  <si>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</si>
  <si>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</si>
  <si>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</si>
  <si>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</si>
  <si>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</si>
  <si>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</si>
  <si>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</si>
  <si>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</si>
  <si>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</si>
  <si>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</si>
  <si>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</si>
  <si>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</si>
  <si>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</si>
  <si>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</si>
  <si>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</si>
  <si>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</si>
  <si>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</si>
  <si>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</si>
  <si>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</si>
  <si>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</si>
  <si>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</si>
  <si>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</si>
  <si>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</si>
  <si>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</si>
  <si>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</si>
  <si>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</si>
  <si>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</si>
  <si>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</si>
  <si>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</si>
  <si>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</si>
  <si>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</si>
  <si>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</si>
  <si>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</si>
  <si>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</si>
  <si>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</si>
  <si>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</si>
  <si>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</si>
  <si>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</si>
  <si>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</si>
  <si>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</si>
  <si>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</si>
  <si>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</si>
  <si>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</si>
  <si>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</si>
  <si>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</si>
  <si>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</si>
  <si>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</si>
  <si>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</si>
  <si>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</si>
  <si>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</si>
  <si>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</si>
  <si>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</si>
  <si>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</si>
  <si>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</si>
  <si>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</si>
  <si>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</si>
  <si>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</si>
  <si>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</si>
  <si>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</si>
  <si>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</si>
  <si>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</si>
  <si>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</si>
  <si>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</si>
  <si>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</si>
  <si>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</si>
  <si>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</si>
  <si>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</si>
  <si>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</si>
  <si>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</si>
  <si>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</si>
  <si>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</si>
  <si>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</si>
  <si>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</si>
  <si>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</si>
  <si>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</si>
  <si>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</si>
  <si>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</si>
  <si>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</si>
  <si>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</si>
  <si>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</si>
  <si>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</si>
  <si>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</si>
  <si>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</si>
  <si>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</si>
  <si>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</si>
  <si>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</si>
  <si>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</si>
  <si>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</si>
  <si>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</si>
  <si>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</si>
  <si>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</si>
  <si>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</si>
  <si>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</si>
  <si>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</si>
  <si>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</si>
  <si>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</si>
  <si>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</si>
  <si>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</si>
  <si>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</si>
  <si>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</si>
  <si>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</si>
  <si>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</si>
  <si>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</si>
  <si>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</si>
  <si>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</si>
  <si>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</si>
  <si>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</si>
  <si>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</si>
  <si>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</si>
  <si>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</si>
  <si>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</si>
  <si>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</si>
  <si>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</si>
  <si>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</si>
  <si>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</si>
  <si>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</si>
  <si>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</si>
  <si>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</si>
  <si>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</si>
  <si>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</si>
  <si>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</si>
  <si>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</si>
  <si>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</si>
  <si>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</si>
  <si>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</si>
  <si>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</si>
  <si>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</si>
  <si>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</si>
  <si>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</si>
  <si>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</si>
  <si>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</si>
  <si>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</si>
  <si>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</si>
  <si>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</si>
  <si>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</si>
  <si>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</si>
  <si>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</si>
  <si>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</si>
  <si>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</si>
  <si>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</si>
  <si>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</si>
  <si>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</si>
  <si>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</si>
  <si>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</si>
  <si>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</si>
  <si>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</si>
  <si>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</si>
  <si>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</si>
  <si>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</si>
  <si>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</si>
  <si>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</si>
  <si>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</si>
  <si>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</si>
  <si>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</si>
  <si>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</si>
  <si>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</si>
  <si>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</si>
  <si>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</si>
  <si>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</si>
  <si>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</si>
  <si>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</si>
  <si>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</si>
  <si>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</si>
  <si>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</si>
  <si>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</si>
  <si>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</si>
  <si>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</si>
  <si>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</si>
  <si>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</si>
  <si>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</si>
  <si>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</si>
  <si>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</si>
  <si>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</si>
  <si>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</si>
  <si>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</si>
  <si>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</si>
  <si>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</si>
  <si>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</si>
  <si>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</si>
  <si>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</si>
  <si>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</si>
  <si>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</si>
  <si>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</si>
  <si>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</si>
  <si>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</si>
  <si>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</si>
  <si>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</si>
  <si>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</si>
  <si>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</si>
  <si>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</si>
  <si>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</si>
  <si>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</si>
  <si>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</si>
  <si>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</si>
  <si>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</si>
  <si>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</si>
  <si>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</si>
  <si>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</si>
  <si>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</si>
  <si>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</si>
  <si>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</si>
  <si>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</si>
  <si>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</si>
  <si>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</si>
  <si>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</si>
  <si>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</si>
  <si>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</si>
  <si>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</si>
  <si>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</si>
  <si>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</si>
  <si>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</si>
  <si>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</si>
  <si>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</si>
  <si>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</si>
  <si>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</si>
  <si>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</si>
  <si>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</si>
  <si>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</si>
  <si>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</si>
  <si>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</si>
  <si>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</si>
  <si>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</si>
  <si>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</si>
  <si>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</si>
  <si>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</si>
  <si>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</si>
  <si>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</si>
  <si>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</si>
  <si>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</si>
  <si>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</si>
  <si>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</si>
  <si>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</si>
  <si>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</si>
  <si>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</si>
  <si>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</si>
  <si>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</si>
  <si>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</si>
  <si>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</si>
  <si>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</si>
  <si>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</si>
  <si>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</si>
  <si>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</si>
  <si>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</si>
  <si>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</si>
  <si>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</si>
  <si>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</si>
  <si>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</si>
  <si>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</si>
  <si>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</si>
  <si>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</si>
  <si>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</si>
  <si>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</si>
  <si>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</si>
  <si>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</si>
  <si>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</si>
  <si>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</si>
  <si>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</si>
  <si>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</si>
  <si>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</si>
  <si>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</si>
  <si>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</si>
  <si>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</si>
  <si>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</si>
  <si>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</si>
  <si>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</si>
  <si>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</si>
  <si>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</si>
  <si>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</si>
  <si>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</si>
  <si>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</si>
  <si>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</si>
  <si>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</si>
  <si>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</si>
  <si>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</si>
  <si>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</si>
  <si>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</si>
  <si>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</si>
  <si>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</si>
  <si>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</si>
  <si>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</si>
  <si>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</si>
  <si>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</si>
  <si>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</si>
  <si>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</si>
  <si>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</si>
  <si>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</si>
  <si>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</si>
  <si>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</si>
  <si>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</si>
  <si>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</si>
  <si>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</si>
  <si>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</si>
  <si>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</si>
  <si>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</si>
  <si>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</si>
  <si>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</si>
  <si>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</si>
  <si>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</si>
  <si>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</si>
  <si>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</si>
  <si>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</si>
  <si>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</si>
  <si>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</si>
  <si>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</si>
  <si>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</si>
  <si>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</si>
  <si>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</si>
  <si>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</si>
  <si>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</si>
  <si>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</si>
  <si>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</si>
  <si>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</si>
  <si>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</si>
  <si>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</si>
  <si>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</si>
  <si>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</si>
  <si>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</si>
  <si>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</si>
  <si>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</si>
  <si>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</si>
  <si>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</si>
  <si>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</si>
  <si>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</si>
  <si>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</si>
  <si>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</si>
  <si>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</si>
  <si>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</si>
  <si>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</si>
  <si>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</si>
  <si>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</si>
  <si>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</si>
  <si>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</si>
  <si>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</si>
  <si>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</si>
  <si>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</si>
  <si>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</si>
  <si>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</si>
  <si>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</si>
  <si>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</si>
  <si>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</si>
  <si>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</si>
  <si>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</si>
  <si>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</si>
  <si>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</si>
  <si>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</si>
  <si>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</si>
  <si>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</si>
  <si>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</si>
  <si>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</si>
  <si>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</si>
  <si>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</si>
  <si>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</si>
  <si>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</si>
  <si>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</si>
  <si>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</si>
  <si>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</si>
  <si>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</si>
  <si>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</si>
  <si>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</si>
  <si>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</si>
  <si>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</si>
  <si>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</si>
  <si>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</si>
  <si>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</si>
  <si>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</si>
  <si>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</si>
  <si>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</si>
  <si>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</si>
  <si>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</si>
  <si>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</si>
  <si>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</si>
  <si>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</si>
  <si>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</si>
  <si>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</si>
  <si>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</si>
  <si>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</si>
  <si>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</si>
  <si>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</si>
  <si>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</si>
  <si>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</si>
  <si>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</si>
  <si>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</si>
  <si>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</si>
  <si>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</si>
  <si>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</si>
  <si>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</si>
  <si>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</si>
  <si>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</si>
  <si>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</si>
  <si>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</si>
  <si>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</si>
  <si>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</si>
  <si>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</si>
  <si>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</si>
  <si>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</si>
  <si>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</si>
  <si>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</si>
  <si>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</si>
  <si>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</si>
  <si>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</si>
  <si>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</si>
  <si>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</si>
  <si>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</si>
  <si>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</si>
  <si>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</si>
  <si>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</si>
  <si>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</si>
  <si>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</si>
  <si>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</si>
  <si>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</si>
  <si>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</si>
  <si>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</si>
  <si>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</si>
  <si>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</si>
  <si>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</si>
  <si>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</si>
  <si>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</si>
  <si>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</si>
  <si>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</si>
  <si>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</si>
  <si>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</si>
  <si>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</si>
  <si>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</si>
  <si>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</si>
  <si>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</si>
  <si>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</si>
  <si>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</si>
  <si>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</si>
  <si>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</si>
  <si>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</si>
  <si>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</si>
  <si>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</si>
  <si>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</si>
  <si>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</si>
  <si>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</si>
  <si>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</si>
  <si>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</si>
  <si>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</si>
  <si>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</si>
  <si>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</si>
  <si>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</si>
  <si>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</si>
  <si>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</si>
  <si>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</si>
  <si>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</si>
  <si>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</si>
  <si>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</si>
  <si>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</si>
  <si>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</si>
  <si>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</si>
  <si>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</si>
  <si>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</si>
  <si>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</si>
  <si>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</si>
  <si>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</si>
  <si>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</si>
  <si>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</si>
  <si>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</si>
  <si>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</si>
  <si>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</si>
  <si>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</si>
  <si>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</si>
  <si>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</si>
  <si>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</si>
  <si>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</si>
  <si>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</si>
  <si>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</si>
  <si>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</si>
  <si>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</si>
  <si>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</si>
  <si>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</si>
  <si>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</si>
  <si>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</si>
  <si>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</si>
  <si>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</si>
  <si>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</si>
  <si>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</si>
  <si>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</si>
  <si>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</si>
  <si>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</si>
  <si>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</si>
  <si>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</si>
  <si>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</si>
  <si>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</si>
  <si>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</si>
  <si>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</si>
  <si>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</si>
  <si>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</si>
  <si>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</si>
  <si>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</si>
  <si>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</si>
  <si>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</si>
  <si>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</si>
  <si>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</si>
  <si>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</si>
  <si>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</si>
  <si>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</si>
  <si>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</si>
  <si>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</si>
  <si>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</si>
  <si>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</si>
  <si>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</si>
  <si>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</si>
  <si>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</si>
  <si>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</si>
  <si>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</si>
  <si>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</si>
  <si>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</si>
  <si>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</si>
  <si>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</si>
  <si>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</si>
  <si>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</si>
  <si>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</si>
  <si>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</si>
  <si>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</si>
  <si>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</si>
  <si>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</si>
  <si>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</si>
  <si>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</si>
  <si>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</si>
  <si>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</si>
  <si>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</si>
  <si>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</si>
  <si>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</si>
  <si>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</si>
  <si>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</si>
  <si>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</si>
  <si>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</si>
  <si>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</si>
  <si>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</si>
  <si>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</si>
  <si>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</si>
  <si>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</si>
  <si>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</si>
  <si>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</si>
  <si>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</si>
  <si>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</si>
  <si>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</si>
  <si>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</si>
  <si>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</si>
  <si>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</si>
  <si>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</si>
  <si>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</si>
  <si>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</si>
  <si>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</si>
  <si>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</si>
  <si>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</si>
  <si>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</si>
  <si>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</si>
  <si>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</si>
  <si>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</si>
  <si>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</si>
  <si>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</si>
  <si>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</si>
  <si>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</si>
  <si>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</si>
  <si>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</si>
  <si>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</si>
  <si>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</si>
  <si>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</si>
  <si>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</si>
  <si>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</si>
  <si>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</si>
  <si>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</si>
  <si>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</si>
  <si>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</si>
  <si>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</si>
  <si>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</si>
  <si>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</si>
  <si>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</si>
  <si>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</si>
  <si>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</si>
  <si>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</si>
  <si>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</si>
  <si>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</si>
  <si>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</si>
  <si>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</si>
  <si>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</si>
  <si>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</si>
  <si>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</si>
  <si>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</si>
  <si>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</si>
  <si>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</si>
  <si>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</si>
  <si>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</si>
  <si>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</si>
  <si>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</si>
  <si>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</si>
  <si>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</si>
  <si>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</si>
  <si>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</si>
  <si>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</si>
  <si>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</si>
  <si>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</si>
  <si>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</si>
  <si>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</si>
  <si>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</si>
  <si>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</si>
  <si>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</si>
  <si>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</si>
  <si>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</si>
  <si>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</si>
  <si>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</si>
  <si>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</si>
  <si>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</si>
  <si>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</si>
  <si>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</si>
  <si>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</si>
  <si>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</si>
  <si>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</si>
  <si>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</si>
  <si>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</si>
  <si>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</si>
  <si>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</si>
  <si>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</si>
  <si>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</si>
  <si>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</si>
  <si>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</si>
  <si>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</si>
  <si>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</si>
  <si>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</si>
  <si>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</si>
  <si>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</si>
  <si>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</si>
  <si>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</si>
  <si>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</si>
  <si>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</si>
  <si>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</si>
  <si>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</si>
  <si>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</si>
  <si>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</si>
  <si>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</si>
  <si>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</si>
  <si>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</si>
  <si>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</si>
  <si>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</si>
  <si>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</si>
  <si>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</si>
  <si>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</si>
  <si>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</si>
  <si>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</si>
  <si>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</si>
  <si>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</si>
  <si>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</si>
  <si>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</si>
  <si>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</si>
  <si>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</si>
  <si>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</si>
  <si>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</si>
  <si>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</si>
  <si>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</si>
  <si>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</si>
  <si>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</si>
  <si>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</si>
  <si>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</si>
  <si>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</si>
  <si>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</si>
  <si>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</si>
  <si>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</si>
  <si>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</si>
  <si>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</si>
  <si>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</si>
  <si>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</si>
  <si>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</si>
  <si>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</si>
  <si>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</si>
  <si>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</si>
  <si>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</si>
  <si>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</si>
  <si>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</si>
  <si>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</si>
  <si>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</si>
  <si>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</si>
  <si>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</si>
  <si>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</si>
  <si>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</si>
  <si>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</si>
  <si>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</si>
  <si>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</si>
  <si>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</si>
  <si>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</si>
  <si>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</si>
  <si>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</si>
  <si>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</si>
  <si>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</si>
  <si>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</si>
  <si>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</si>
  <si>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</si>
  <si>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</si>
  <si>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</si>
  <si>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</si>
  <si>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</si>
  <si>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</si>
  <si>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</si>
  <si>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</si>
  <si>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</si>
  <si>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</si>
  <si>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</si>
  <si>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</si>
  <si>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</si>
  <si>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</si>
  <si>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</si>
  <si>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</si>
  <si>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</si>
  <si>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</si>
  <si>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</si>
  <si>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</si>
  <si>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</si>
  <si>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</si>
  <si>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</si>
  <si>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</si>
  <si>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</si>
  <si>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</si>
  <si>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</si>
  <si>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</si>
  <si>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</si>
  <si>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</si>
  <si>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</si>
  <si>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</si>
  <si>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</si>
  <si>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</si>
  <si>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</si>
  <si>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</si>
  <si>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</si>
  <si>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</si>
  <si>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</si>
  <si>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</si>
  <si>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</si>
  <si>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</si>
  <si>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</si>
  <si>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</si>
  <si>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</si>
  <si>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</si>
  <si>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</si>
  <si>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</si>
  <si>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</si>
  <si>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</si>
  <si>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</si>
  <si>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</si>
  <si>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</si>
  <si>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</si>
  <si>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</si>
  <si>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</si>
  <si>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</si>
  <si>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</si>
  <si>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</si>
  <si>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</si>
  <si>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</si>
  <si>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</si>
  <si>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</si>
  <si>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</si>
  <si>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</si>
  <si>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</si>
  <si>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</si>
  <si>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</si>
  <si>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</si>
  <si>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</si>
  <si>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</si>
  <si>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</si>
  <si>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</si>
  <si>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</si>
  <si>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</si>
  <si>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</si>
  <si>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</si>
  <si>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</si>
  <si>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</si>
  <si>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</si>
  <si>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</si>
  <si>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</si>
  <si>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</si>
  <si>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</si>
  <si>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</si>
  <si>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</si>
  <si>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</si>
  <si>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</si>
  <si>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</si>
  <si>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</si>
  <si>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</si>
  <si>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</si>
  <si>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</si>
  <si>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</si>
  <si>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</si>
  <si>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</si>
  <si>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</si>
  <si>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</si>
  <si>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</si>
  <si>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</si>
  <si>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</si>
  <si>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</si>
  <si>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</si>
  <si>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</si>
  <si>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</si>
  <si>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</si>
  <si>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</si>
  <si>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</si>
  <si>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</si>
  <si>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</si>
  <si>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</si>
  <si>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</si>
  <si>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</si>
  <si>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</si>
  <si>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</si>
  <si>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</si>
  <si>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</si>
  <si>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</si>
  <si>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</si>
  <si>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</si>
  <si>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</si>
  <si>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</si>
  <si>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</si>
  <si>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</si>
  <si>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</si>
  <si>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</si>
  <si>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</si>
  <si>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</si>
  <si>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</si>
  <si>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</si>
  <si>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</si>
  <si>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</si>
  <si>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</si>
  <si>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</si>
  <si>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</si>
  <si>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</si>
  <si>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</si>
  <si>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</si>
  <si>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</si>
  <si>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</si>
  <si>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</si>
  <si>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</si>
  <si>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</si>
  <si>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</si>
  <si>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</si>
  <si>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</si>
  <si>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</si>
  <si>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</si>
  <si>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</si>
  <si>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</si>
  <si>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</si>
  <si>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</si>
  <si>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</si>
  <si>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</si>
  <si>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</si>
  <si>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</si>
  <si>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</si>
  <si>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</si>
  <si>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</si>
  <si>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</si>
  <si>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</si>
  <si>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</si>
  <si>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</si>
  <si>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</si>
  <si>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</si>
  <si>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</si>
  <si>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</si>
  <si>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</si>
  <si>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</si>
  <si>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</si>
  <si>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</si>
  <si>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</si>
  <si>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</si>
  <si>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</si>
  <si>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</si>
  <si>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</si>
  <si>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</si>
  <si>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</si>
  <si>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</si>
  <si>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</si>
  <si>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</si>
  <si>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</si>
  <si>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</si>
  <si>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</si>
  <si>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</si>
  <si>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</si>
  <si>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</si>
  <si>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</si>
  <si>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</si>
  <si>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</si>
  <si>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</si>
  <si>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</si>
  <si>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</si>
  <si>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</si>
  <si>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</si>
  <si>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</si>
  <si>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</si>
  <si>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</si>
  <si>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</si>
  <si>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</si>
  <si>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</si>
  <si>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</si>
  <si>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</si>
  <si>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</si>
  <si>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</si>
  <si>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</si>
  <si>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</si>
  <si>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</si>
  <si>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</si>
  <si>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</si>
  <si>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</si>
  <si>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</si>
  <si>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</si>
  <si>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</si>
  <si>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</si>
  <si>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</si>
  <si>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</si>
  <si>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</si>
  <si>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</si>
  <si>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</si>
  <si>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</si>
  <si>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</si>
  <si>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</si>
  <si>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</si>
  <si>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</si>
  <si>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</si>
  <si>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</si>
  <si>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</si>
  <si>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</si>
  <si>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</si>
  <si>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</si>
  <si>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</si>
  <si>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</si>
  <si>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</si>
  <si>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</si>
  <si>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</si>
  <si>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</si>
  <si>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</si>
  <si>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</si>
  <si>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</si>
  <si>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</si>
  <si>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</si>
  <si>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</si>
  <si>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</si>
  <si>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</si>
  <si>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</si>
  <si>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</si>
  <si>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</si>
  <si>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</si>
  <si>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</si>
  <si>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</si>
  <si>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</si>
  <si>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</si>
  <si>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</si>
  <si>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</si>
  <si>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</si>
  <si>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</si>
  <si>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</si>
  <si>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</si>
  <si>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</si>
  <si>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</si>
  <si>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</si>
  <si>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</si>
  <si>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</si>
  <si>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</si>
  <si>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</si>
  <si>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</si>
  <si>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</si>
  <si>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</si>
  <si>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</si>
  <si>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</si>
  <si>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</si>
  <si>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</si>
  <si>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</si>
  <si>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</si>
  <si>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</si>
  <si>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</si>
  <si>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</si>
  <si>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</si>
  <si>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</si>
  <si>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</si>
  <si>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</si>
  <si>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</si>
  <si>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</si>
  <si>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</si>
  <si>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</si>
  <si>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</si>
  <si>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</si>
  <si>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</si>
  <si>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</si>
  <si>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</si>
  <si>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</si>
  <si>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</si>
  <si>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</si>
  <si>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</si>
  <si>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</si>
  <si>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</si>
  <si>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</si>
  <si>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</si>
  <si>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</si>
  <si>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</si>
  <si>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</si>
  <si>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</si>
  <si>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</si>
  <si>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</si>
  <si>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</si>
  <si>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</si>
  <si>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</si>
  <si>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</si>
  <si>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</si>
  <si>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</si>
  <si>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</si>
  <si>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</si>
  <si>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</si>
  <si>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</si>
  <si>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</si>
  <si>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</si>
  <si>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</si>
  <si>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</si>
  <si>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</si>
  <si>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</si>
  <si>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</si>
  <si>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</si>
  <si>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</si>
  <si>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</si>
  <si>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</si>
  <si>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</si>
  <si>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</si>
  <si>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</si>
  <si>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</si>
  <si>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</si>
  <si>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</si>
  <si>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</si>
  <si>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</si>
  <si>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</si>
  <si>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</si>
  <si>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</si>
  <si>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</si>
  <si>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</si>
  <si>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</si>
  <si>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</si>
  <si>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</si>
  <si>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</si>
  <si>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</si>
  <si>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</si>
  <si>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</si>
  <si>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</si>
  <si>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</si>
  <si>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</si>
  <si>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</si>
  <si>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</si>
  <si>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</si>
  <si>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</si>
  <si>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</si>
  <si>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</si>
  <si>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</si>
  <si>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</si>
  <si>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</si>
  <si>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</si>
  <si>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</si>
  <si>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</si>
  <si>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</si>
  <si>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</si>
  <si>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</si>
  <si>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</si>
  <si>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</si>
  <si>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</si>
  <si>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</si>
  <si>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</si>
  <si>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</si>
  <si>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</si>
  <si>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</si>
  <si>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</si>
  <si>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</si>
  <si>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</si>
  <si>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</si>
  <si>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</si>
  <si>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</si>
  <si>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</si>
  <si>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</si>
  <si>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</si>
  <si>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</si>
  <si>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</si>
  <si>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</si>
  <si>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</si>
  <si>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</si>
  <si>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</si>
  <si>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</si>
  <si>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</si>
  <si>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</si>
  <si>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</si>
  <si>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</si>
  <si>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</si>
  <si>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</si>
  <si>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</si>
  <si>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</si>
  <si>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</si>
  <si>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</si>
  <si>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</si>
  <si>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</si>
  <si>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</si>
  <si>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</si>
  <si>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</si>
  <si>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</si>
  <si>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</si>
  <si>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</si>
  <si>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</si>
  <si>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</si>
  <si>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</si>
  <si>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</si>
  <si>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</si>
  <si>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</si>
  <si>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</si>
  <si>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</si>
  <si>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</si>
  <si>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</si>
  <si>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</si>
  <si>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</si>
  <si>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</si>
  <si>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</si>
  <si>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</si>
  <si>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</si>
  <si>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</si>
  <si>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</si>
  <si>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</si>
  <si>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</si>
  <si>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</si>
  <si>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</si>
  <si>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</si>
  <si>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</si>
  <si>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</si>
  <si>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</si>
  <si>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</si>
  <si>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</si>
  <si>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</si>
  <si>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</si>
  <si>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</si>
  <si>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</si>
  <si>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</si>
  <si>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</si>
  <si>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</si>
  <si>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</si>
  <si>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</si>
  <si>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</si>
  <si>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</si>
  <si>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</si>
  <si>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</si>
  <si>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</si>
  <si>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</si>
  <si>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</si>
  <si>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</si>
  <si>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</si>
  <si>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</si>
  <si>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</si>
  <si>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</si>
  <si>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</si>
  <si>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</si>
  <si>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</si>
  <si>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</si>
  <si>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</si>
  <si>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</si>
  <si>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</si>
  <si>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</si>
  <si>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</si>
  <si>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</si>
  <si>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</si>
  <si>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</si>
  <si>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</si>
  <si>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</si>
  <si>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</si>
  <si>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</si>
  <si>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</si>
  <si>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</si>
  <si>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</si>
  <si>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</si>
  <si>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</si>
  <si>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</si>
  <si>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</si>
  <si>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</si>
  <si>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</si>
  <si>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</si>
  <si>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</si>
  <si>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</si>
  <si>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</si>
  <si>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</si>
  <si>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</si>
  <si>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</si>
  <si>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</si>
  <si>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</si>
  <si>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</si>
  <si>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</si>
  <si>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</si>
  <si>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</si>
  <si>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</si>
  <si>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</si>
  <si>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</si>
  <si>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</si>
  <si>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</si>
  <si>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</si>
  <si>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</si>
  <si>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</si>
  <si>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</si>
  <si>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</si>
  <si>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</si>
  <si>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</si>
  <si>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</si>
  <si>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</si>
  <si>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</si>
  <si>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</si>
  <si>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</si>
  <si>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</si>
  <si>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</si>
  <si>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</si>
  <si>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</si>
  <si>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</si>
  <si>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</si>
  <si>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</si>
  <si>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</si>
  <si>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</si>
  <si>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</si>
  <si>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</si>
  <si>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</si>
  <si>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</si>
  <si>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</si>
  <si>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</si>
  <si>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</si>
  <si>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</si>
  <si>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</si>
  <si>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</si>
  <si>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</si>
  <si>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</si>
  <si>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</si>
  <si>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</si>
  <si>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</si>
  <si>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</si>
  <si>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</si>
  <si>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</si>
  <si>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</si>
  <si>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</si>
  <si>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</si>
  <si>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</si>
  <si>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</si>
  <si>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</si>
  <si>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</si>
  <si>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</si>
  <si>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</si>
  <si>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</si>
  <si>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</si>
  <si>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</si>
  <si>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</si>
  <si>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</si>
  <si>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</si>
  <si>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</si>
  <si>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</si>
  <si>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</si>
  <si>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</si>
  <si>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</si>
  <si>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</si>
  <si>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</si>
  <si>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</si>
  <si>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</si>
  <si>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</si>
  <si>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</si>
  <si>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</si>
  <si>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</si>
  <si>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</si>
  <si>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</si>
  <si>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</si>
  <si>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</si>
  <si>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</si>
  <si>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</si>
  <si>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</si>
  <si>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</si>
  <si>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</si>
  <si>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</si>
  <si>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</si>
  <si>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</si>
  <si>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</si>
  <si>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</si>
  <si>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</si>
  <si>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</si>
  <si>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</si>
  <si>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</si>
  <si>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</si>
  <si>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</si>
  <si>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</si>
  <si>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</si>
  <si>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</si>
  <si>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</si>
  <si>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</si>
  <si>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</si>
  <si>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</si>
  <si>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</si>
  <si>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</si>
  <si>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</si>
  <si>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</si>
  <si>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</si>
  <si>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</si>
  <si>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</si>
  <si>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</si>
  <si>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</si>
  <si>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</si>
  <si>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</si>
  <si>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</si>
  <si>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</si>
  <si>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</si>
  <si>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</si>
  <si>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</si>
  <si>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</si>
  <si>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</si>
  <si>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</si>
  <si>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</si>
  <si>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</si>
  <si>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</si>
  <si>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</si>
  <si>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</si>
  <si>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</si>
  <si>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</si>
  <si>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</si>
  <si>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</si>
  <si>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</si>
  <si>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</si>
  <si>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</si>
  <si>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</si>
  <si>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</si>
  <si>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</si>
  <si>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</si>
  <si>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</si>
  <si>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</si>
  <si>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</si>
  <si>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</si>
  <si>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</si>
  <si>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</si>
  <si>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</si>
  <si>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</si>
  <si>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</si>
  <si>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</si>
  <si>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</si>
  <si>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</si>
  <si>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</si>
  <si>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</si>
  <si>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</si>
  <si>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</si>
  <si>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</si>
  <si>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</si>
  <si>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</si>
  <si>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</si>
  <si>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</si>
  <si>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</si>
  <si>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</si>
  <si>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</si>
  <si>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</si>
  <si>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</si>
  <si>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</si>
  <si>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</si>
  <si>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</si>
  <si>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</si>
  <si>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</si>
  <si>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</si>
  <si>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</si>
  <si>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</si>
  <si>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</si>
  <si>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</si>
  <si>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</si>
  <si>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</si>
  <si>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</si>
  <si>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</si>
  <si>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</si>
  <si>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</si>
  <si>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</si>
  <si>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</si>
  <si>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</si>
  <si>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</si>
  <si>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</si>
  <si>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</si>
  <si>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</si>
  <si>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</si>
  <si>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</si>
  <si>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</si>
  <si>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</si>
  <si>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</si>
  <si>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</si>
  <si>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</si>
  <si>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</si>
  <si>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</si>
  <si>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</si>
  <si>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</si>
  <si>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</si>
  <si>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</si>
  <si>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</si>
  <si>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</si>
  <si>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</si>
  <si>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</si>
  <si>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</si>
  <si>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</si>
  <si>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</si>
  <si>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</si>
  <si>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</si>
  <si>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</si>
  <si>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</si>
  <si>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</si>
  <si>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</si>
  <si>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</si>
  <si>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</si>
  <si>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</si>
  <si>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</si>
  <si>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</si>
  <si>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</si>
  <si>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</si>
  <si>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</si>
  <si>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</si>
  <si>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</si>
  <si>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</si>
  <si>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</si>
  <si>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</si>
  <si>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</si>
  <si>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</si>
  <si>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</si>
  <si>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</si>
  <si>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</si>
  <si>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</si>
  <si>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</si>
  <si>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</si>
  <si>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</si>
  <si>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</si>
  <si>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</si>
  <si>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</si>
  <si>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</si>
  <si>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</si>
  <si>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</si>
  <si>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</si>
  <si>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</si>
  <si>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</si>
  <si>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</si>
  <si>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</si>
  <si>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</si>
  <si>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</si>
  <si>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</si>
  <si>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</si>
  <si>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</si>
  <si>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</si>
  <si>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</si>
  <si>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</si>
  <si>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</si>
  <si>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</si>
  <si>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</si>
  <si>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</si>
  <si>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</si>
  <si>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</si>
  <si>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</si>
  <si>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</si>
  <si>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</si>
  <si>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</si>
  <si>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</si>
  <si>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</si>
  <si>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</si>
  <si>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</si>
  <si>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</si>
  <si>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</si>
  <si>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</si>
  <si>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</si>
  <si>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</si>
  <si>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</si>
  <si>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</si>
  <si>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</si>
  <si>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</si>
  <si>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</si>
  <si>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</si>
  <si>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</si>
  <si>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</si>
  <si>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</si>
  <si>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</si>
  <si>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</si>
  <si>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</si>
  <si>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</si>
  <si>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</si>
  <si>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</si>
  <si>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</si>
  <si>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</si>
  <si>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</si>
  <si>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</si>
  <si>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</si>
  <si>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</si>
  <si>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</si>
  <si>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</si>
  <si>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</si>
  <si>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</si>
  <si>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</si>
  <si>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</si>
  <si>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</si>
  <si>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</si>
  <si>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</si>
  <si>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</si>
  <si>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</si>
  <si>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</si>
  <si>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</si>
  <si>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</si>
  <si>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</si>
  <si>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</si>
  <si>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</si>
  <si>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</si>
  <si>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</si>
  <si>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</si>
  <si>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</si>
  <si>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</si>
  <si>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</si>
  <si>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</si>
  <si>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</si>
  <si>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</si>
  <si>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</si>
  <si>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</si>
  <si>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</si>
  <si>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</si>
  <si>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</si>
  <si>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</si>
  <si>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</si>
  <si>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</si>
  <si>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</si>
  <si>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</si>
  <si>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</si>
  <si>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</si>
  <si>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</si>
  <si>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</si>
  <si>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</si>
  <si>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</si>
  <si>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</si>
  <si>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</si>
  <si>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</si>
  <si>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</si>
  <si>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</si>
  <si>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</si>
  <si>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</si>
  <si>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</si>
  <si>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</si>
  <si>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</si>
  <si>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</si>
  <si>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</si>
  <si>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</si>
  <si>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</si>
  <si>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</si>
  <si>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</si>
  <si>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</si>
  <si>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</si>
  <si>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</si>
  <si>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</si>
  <si>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</si>
  <si>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</si>
  <si>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</si>
  <si>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</si>
  <si>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</si>
  <si>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</si>
  <si>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</si>
  <si>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</si>
  <si>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</si>
  <si>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</si>
  <si>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</si>
  <si>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</si>
  <si>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</si>
  <si>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</si>
  <si>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</si>
  <si>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</si>
  <si>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</si>
  <si>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</si>
  <si>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</si>
  <si>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</si>
  <si>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</si>
  <si>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</si>
  <si>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</si>
  <si>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</si>
  <si>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</si>
  <si>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</si>
  <si>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</si>
  <si>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</si>
  <si>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</si>
  <si>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</si>
  <si>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</si>
  <si>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</si>
  <si>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</si>
  <si>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</si>
  <si>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</si>
  <si>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</si>
  <si>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</si>
  <si>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</si>
  <si>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</si>
  <si>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</si>
  <si>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</si>
  <si>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</si>
  <si>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</si>
  <si>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</si>
  <si>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</si>
  <si>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</si>
  <si>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</si>
  <si>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</si>
  <si>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</si>
  <si>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</si>
  <si>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</si>
  <si>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</si>
  <si>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</si>
  <si>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</si>
  <si>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</si>
  <si>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</si>
  <si>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</si>
  <si>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</si>
  <si>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</si>
  <si>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</si>
  <si>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</si>
  <si>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</si>
  <si>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</si>
  <si>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</si>
  <si>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</si>
  <si>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</si>
  <si>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</si>
  <si>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</si>
  <si>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</si>
  <si>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</si>
  <si>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</si>
  <si>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</si>
  <si>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</si>
  <si>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</si>
  <si>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</si>
  <si>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</si>
  <si>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</si>
  <si>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</si>
  <si>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</si>
  <si>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</si>
  <si>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</si>
  <si>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</si>
  <si>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</si>
  <si>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</si>
  <si>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</si>
  <si>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</si>
  <si>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</si>
  <si>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</si>
  <si>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</si>
  <si>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</si>
  <si>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</si>
  <si>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</si>
  <si>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</si>
  <si>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</si>
  <si>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</si>
  <si>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</si>
  <si>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</si>
  <si>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</si>
  <si>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</si>
  <si>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</si>
  <si>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</si>
  <si>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</si>
  <si>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</si>
  <si>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</si>
  <si>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</si>
  <si>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</si>
  <si>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</si>
  <si>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</si>
  <si>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</si>
  <si>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</si>
  <si>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</si>
  <si>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</si>
  <si>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</si>
  <si>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</si>
  <si>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</si>
  <si>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</si>
  <si>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</si>
  <si>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</si>
  <si>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</si>
  <si>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</si>
  <si>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</si>
  <si>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</si>
  <si>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</si>
  <si>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</si>
  <si>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</si>
  <si>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</si>
  <si>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</si>
  <si>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</si>
  <si>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</si>
  <si>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</si>
  <si>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</si>
  <si>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</si>
  <si>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</si>
  <si>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</si>
  <si>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</si>
  <si>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</si>
  <si>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</si>
  <si>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</si>
  <si>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</si>
  <si>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</si>
  <si>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</si>
  <si>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</si>
  <si>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</si>
  <si>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</si>
  <si>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</si>
  <si>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</si>
  <si>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</si>
  <si>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</si>
  <si>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</si>
  <si>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</si>
  <si>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</si>
  <si>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</si>
  <si>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</si>
  <si>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</si>
  <si>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</si>
  <si>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</si>
  <si>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</si>
  <si>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</si>
  <si>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</si>
  <si>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</si>
  <si>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</si>
  <si>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</si>
  <si>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</si>
  <si>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</si>
  <si>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</si>
  <si>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</si>
  <si>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</si>
  <si>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</si>
  <si>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</si>
  <si>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</si>
  <si>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</si>
  <si>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</si>
  <si>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</si>
  <si>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</si>
  <si>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</si>
  <si>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</si>
  <si>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</si>
  <si>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</si>
  <si>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</si>
  <si>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</si>
  <si>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</si>
  <si>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</si>
  <si>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</si>
  <si>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</si>
  <si>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</si>
  <si>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</si>
  <si>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</si>
  <si>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</si>
  <si>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</si>
  <si>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</si>
  <si>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</si>
  <si>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</si>
  <si>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</si>
  <si>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</si>
  <si>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</si>
  <si>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</si>
  <si>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</si>
  <si>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</si>
  <si>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</si>
  <si>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</si>
  <si>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</si>
  <si>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</si>
  <si>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</si>
  <si>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</si>
  <si>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</si>
  <si>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</si>
  <si>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</si>
  <si>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</si>
  <si>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</si>
  <si>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</si>
  <si>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</si>
  <si>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</si>
  <si>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</si>
  <si>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</si>
  <si>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</si>
  <si>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</si>
  <si>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</si>
  <si>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</si>
  <si>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</si>
  <si>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</si>
  <si>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</si>
  <si>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</si>
  <si>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</si>
  <si>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</si>
  <si>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</si>
  <si>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</si>
  <si>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</si>
  <si>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</si>
  <si>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</si>
  <si>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</si>
  <si>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</si>
  <si>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</si>
  <si>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</si>
  <si>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</si>
  <si>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</si>
  <si>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</si>
  <si>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</si>
  <si>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</si>
  <si>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</si>
  <si>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</si>
  <si>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</si>
  <si>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</si>
  <si>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</si>
  <si>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</si>
  <si>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</si>
  <si>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</si>
  <si>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</si>
  <si>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</si>
  <si>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</si>
  <si>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</si>
  <si>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</si>
  <si>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</si>
  <si>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</si>
  <si>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</si>
  <si>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</si>
  <si>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</si>
  <si>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</si>
  <si>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</si>
  <si>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</si>
  <si>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</si>
  <si>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</si>
  <si>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</si>
  <si>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</si>
  <si>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</si>
  <si>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</si>
  <si>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</si>
  <si>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</si>
  <si>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</si>
  <si>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</si>
  <si>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</si>
  <si>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</si>
  <si>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</si>
  <si>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</si>
  <si>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</si>
  <si>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</si>
  <si>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</si>
  <si>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</si>
  <si>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</si>
  <si>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</si>
  <si>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</si>
  <si>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</si>
  <si>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</si>
  <si>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</si>
  <si>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</si>
  <si>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</si>
  <si>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</si>
  <si>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</si>
  <si>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</si>
  <si>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</si>
  <si>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</si>
  <si>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</si>
  <si>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</si>
  <si>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</si>
  <si>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</si>
  <si>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</si>
  <si>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</si>
  <si>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</si>
  <si>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</si>
  <si>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</si>
  <si>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</si>
  <si>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</si>
  <si>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</si>
  <si>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</si>
  <si>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</si>
  <si>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</si>
  <si>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</si>
  <si>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</si>
  <si>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</si>
  <si>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</si>
  <si>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</si>
  <si>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</si>
  <si>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</si>
  <si>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</si>
  <si>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</si>
  <si>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</si>
  <si>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</si>
  <si>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</si>
  <si>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</si>
  <si>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</si>
  <si>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</si>
  <si>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</si>
  <si>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</si>
  <si>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</si>
  <si>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</si>
  <si>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</si>
  <si>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</si>
  <si>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</si>
  <si>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</si>
  <si>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</si>
  <si>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</si>
  <si>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</si>
  <si>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</si>
  <si>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</si>
  <si>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</si>
  <si>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</si>
  <si>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</si>
  <si>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</si>
  <si>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</si>
  <si>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</si>
  <si>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</si>
  <si>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</si>
  <si>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</si>
  <si>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</si>
  <si>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</si>
  <si>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</si>
  <si>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</si>
  <si>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</si>
  <si>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</si>
  <si>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</si>
  <si>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</si>
  <si>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</si>
  <si>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</si>
  <si>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</si>
  <si>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</si>
  <si>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</si>
  <si>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</si>
  <si>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</si>
  <si>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</si>
  <si>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</si>
  <si>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</si>
  <si>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</si>
  <si>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</si>
  <si>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</si>
  <si>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</si>
  <si>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</si>
  <si>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</si>
  <si>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</si>
  <si>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</si>
  <si>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</si>
  <si>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</si>
  <si>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</si>
  <si>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</si>
  <si>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</si>
  <si>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</si>
  <si>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</si>
  <si>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</si>
  <si>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</si>
  <si>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</si>
  <si>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</si>
  <si>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</si>
  <si>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</si>
  <si>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</si>
  <si>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</si>
  <si>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</si>
  <si>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</si>
  <si>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</si>
  <si>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</si>
  <si>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</si>
  <si>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</si>
  <si>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</si>
  <si>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</si>
  <si>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</si>
  <si>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</si>
  <si>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</si>
  <si>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</si>
  <si>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</si>
  <si>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</si>
  <si>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</si>
  <si>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</si>
  <si>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</si>
  <si>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</si>
  <si>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</si>
  <si>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</si>
  <si>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</si>
  <si>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</si>
  <si>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</si>
  <si>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</si>
  <si>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</si>
  <si>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</si>
  <si>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</si>
  <si>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</si>
  <si>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</si>
  <si>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</si>
  <si>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</si>
  <si>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</si>
  <si>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</si>
  <si>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</si>
  <si>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</si>
  <si>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</si>
  <si>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</si>
  <si>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</si>
  <si>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</si>
  <si>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</si>
  <si>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</si>
  <si>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</si>
  <si>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</si>
  <si>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</si>
  <si>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</si>
  <si>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</si>
  <si>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</si>
  <si>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</si>
  <si>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</si>
  <si>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</si>
  <si>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</si>
  <si>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</si>
  <si>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</si>
  <si>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</si>
  <si>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</si>
  <si>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</si>
  <si>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</si>
  <si>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</si>
  <si>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</si>
  <si>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</si>
  <si>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</si>
  <si>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</si>
  <si>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</si>
  <si>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</si>
  <si>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</si>
  <si>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</si>
  <si>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</si>
  <si>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</si>
  <si>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</si>
  <si>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</si>
  <si>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</si>
  <si>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</si>
  <si>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</si>
  <si>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</si>
  <si>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</si>
  <si>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</si>
  <si>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</si>
  <si>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</si>
  <si>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</si>
  <si>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</si>
  <si>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</si>
  <si>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</si>
  <si>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</si>
  <si>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</si>
  <si>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</si>
  <si>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</si>
  <si>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</si>
  <si>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</si>
  <si>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</si>
  <si>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</si>
  <si>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</si>
  <si>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</si>
  <si>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</si>
  <si>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</si>
  <si>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</si>
  <si>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</si>
  <si>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</si>
  <si>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</si>
  <si>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</si>
  <si>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</si>
  <si>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</si>
  <si>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</si>
  <si>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</si>
  <si>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</si>
  <si>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</si>
  <si>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</si>
  <si>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</si>
  <si>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</si>
  <si>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</si>
  <si>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</si>
  <si>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</si>
  <si>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</si>
  <si>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</si>
  <si>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</si>
  <si>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</si>
  <si>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</si>
  <si>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</si>
  <si>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</si>
  <si>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</si>
  <si>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</si>
  <si>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</si>
  <si>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</si>
  <si>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</si>
  <si>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</si>
  <si>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</si>
  <si>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</si>
  <si>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</si>
  <si>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</si>
  <si>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</si>
  <si>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</si>
  <si>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</si>
  <si>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</si>
  <si>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</si>
  <si>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</si>
  <si>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</si>
  <si>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</si>
  <si>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</si>
  <si>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</si>
  <si>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</si>
  <si>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</si>
  <si>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</si>
  <si>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</si>
  <si>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</si>
  <si>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</si>
  <si>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</si>
  <si>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</si>
  <si>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</si>
  <si>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</si>
  <si>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</si>
  <si>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</si>
  <si>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</si>
  <si>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</si>
  <si>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</si>
  <si>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</si>
  <si>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</si>
  <si>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</si>
  <si>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</si>
  <si>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</si>
  <si>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</si>
  <si>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</si>
  <si>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</si>
  <si>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</si>
  <si>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</si>
  <si>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</si>
  <si>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</si>
  <si>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</si>
  <si>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</si>
  <si>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</si>
  <si>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</si>
  <si>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</si>
  <si>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</si>
  <si>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</si>
  <si>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</si>
  <si>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</si>
  <si>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</si>
  <si>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</si>
  <si>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</si>
  <si>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</si>
  <si>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</si>
  <si>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</si>
  <si>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</si>
  <si>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</si>
  <si>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</si>
  <si>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</si>
  <si>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</si>
  <si>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</si>
  <si>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</si>
  <si>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</si>
  <si>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</si>
  <si>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</si>
  <si>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</si>
  <si>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</si>
  <si>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</si>
  <si>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</si>
  <si>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</si>
  <si>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</si>
  <si>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</si>
  <si>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</si>
  <si>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</si>
  <si>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</si>
  <si>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</si>
  <si>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</si>
  <si>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</si>
  <si>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</si>
  <si>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</si>
  <si>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</si>
  <si>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</si>
  <si>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</si>
  <si>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</si>
  <si>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</si>
  <si>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</si>
  <si>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</si>
  <si>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</si>
  <si>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</si>
  <si>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</si>
  <si>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</si>
  <si>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</si>
  <si>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</si>
  <si>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</si>
  <si>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</si>
  <si>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</si>
  <si>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</si>
  <si>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</si>
  <si>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</si>
  <si>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</si>
  <si>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</si>
  <si>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</si>
  <si>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</si>
  <si>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</si>
  <si>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</si>
  <si>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</si>
  <si>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</si>
  <si>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</si>
  <si>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</si>
  <si>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</si>
  <si>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</si>
  <si>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</si>
  <si>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</si>
  <si>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</si>
  <si>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</si>
  <si>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</si>
  <si>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</si>
  <si>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</si>
  <si>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</si>
  <si>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</si>
  <si>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</si>
  <si>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</si>
  <si>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</si>
  <si>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</si>
  <si>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</si>
  <si>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</si>
  <si>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</si>
  <si>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</si>
  <si>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</si>
  <si>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</si>
  <si>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</si>
  <si>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</si>
  <si>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</si>
  <si>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</si>
  <si>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</si>
  <si>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</si>
  <si>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</si>
  <si>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</si>
  <si>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</si>
  <si>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</si>
  <si>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</si>
  <si>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</si>
  <si>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</si>
  <si>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</si>
  <si>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</si>
  <si>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</si>
  <si>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</si>
  <si>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</si>
  <si>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</si>
  <si>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</si>
  <si>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</si>
  <si>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</si>
  <si>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</si>
  <si>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</si>
  <si>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</si>
  <si>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</si>
  <si>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</si>
  <si>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</si>
  <si>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</si>
  <si>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</si>
  <si>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</si>
  <si>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</si>
  <si>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</si>
  <si>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</si>
  <si>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</si>
  <si>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</si>
  <si>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</si>
  <si>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</si>
  <si>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</si>
  <si>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</si>
  <si>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</si>
  <si>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</si>
  <si>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</si>
  <si>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</si>
  <si>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</si>
  <si>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</si>
  <si>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</si>
  <si>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</si>
  <si>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</si>
  <si>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</si>
  <si>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</si>
  <si>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</si>
  <si>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</si>
  <si>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</si>
  <si>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</si>
  <si>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</si>
  <si>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</si>
  <si>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</si>
  <si>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</si>
  <si>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</si>
  <si>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</si>
  <si>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</si>
  <si>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</si>
  <si>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</si>
  <si>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</si>
  <si>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</si>
  <si>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</si>
  <si>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</si>
  <si>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</si>
  <si>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</si>
  <si>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</si>
  <si>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</si>
  <si>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</si>
  <si>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</si>
  <si>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</si>
  <si>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</si>
  <si>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</si>
  <si>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</si>
  <si>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</si>
  <si>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</si>
  <si>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</si>
  <si>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</si>
  <si>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</si>
  <si>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</si>
  <si>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</si>
  <si>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</si>
  <si>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</si>
  <si>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</si>
  <si>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</si>
  <si>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</si>
  <si>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</si>
  <si>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</si>
  <si>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</si>
  <si>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</si>
  <si>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</si>
  <si>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</si>
  <si>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</si>
  <si>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</si>
  <si>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</si>
  <si>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</si>
  <si>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</si>
  <si>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</si>
  <si>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</si>
  <si>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</si>
  <si>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</si>
  <si>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</si>
  <si>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</si>
  <si>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</si>
  <si>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</si>
  <si>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</si>
  <si>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</si>
  <si>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</si>
  <si>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</si>
  <si>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</si>
  <si>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</si>
  <si>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</si>
  <si>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</si>
  <si>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</si>
  <si>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</si>
  <si>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</si>
  <si>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</si>
  <si>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</si>
  <si>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</si>
  <si>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</si>
  <si>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</si>
  <si>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</si>
  <si>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</si>
  <si>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</si>
  <si>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</si>
  <si>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</si>
  <si>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</si>
  <si>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</si>
  <si>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</si>
  <si>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</si>
  <si>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</si>
  <si>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</si>
  <si>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</si>
  <si>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</si>
  <si>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</si>
  <si>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</si>
  <si>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</si>
  <si>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</si>
  <si>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</si>
  <si>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</si>
  <si>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</si>
  <si>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</si>
  <si>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</si>
  <si>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</si>
  <si>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</si>
  <si>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</si>
  <si>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</si>
  <si>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</si>
  <si>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</si>
  <si>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</si>
  <si>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</si>
  <si>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</si>
  <si>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</si>
  <si>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</si>
  <si>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</si>
  <si>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</si>
  <si>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</si>
  <si>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</si>
  <si>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</si>
  <si>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</si>
  <si>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</si>
  <si>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</si>
  <si>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</si>
  <si>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</si>
  <si>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</si>
  <si>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</si>
  <si>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</si>
  <si>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</si>
  <si>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</si>
  <si>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</si>
  <si>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</si>
  <si>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</si>
  <si>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</si>
  <si>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</si>
  <si>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</si>
  <si>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</si>
  <si>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</si>
  <si>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</si>
  <si>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</si>
  <si>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</si>
  <si>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</si>
  <si>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</si>
  <si>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</si>
  <si>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</si>
  <si>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</si>
  <si>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</si>
  <si>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</si>
  <si>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</si>
  <si>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</si>
  <si>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</si>
  <si>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</si>
  <si>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</si>
  <si>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</si>
  <si>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</si>
  <si>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</si>
  <si>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</si>
  <si>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</si>
  <si>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</si>
  <si>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</si>
  <si>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</si>
  <si>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</si>
  <si>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</si>
  <si>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</si>
  <si>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</si>
  <si>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</si>
  <si>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</si>
  <si>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</si>
  <si>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</si>
  <si>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</si>
  <si>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</si>
  <si>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</si>
  <si>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</si>
  <si>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</si>
  <si>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</si>
  <si>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</si>
  <si>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</si>
  <si>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</si>
  <si>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</si>
  <si>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</si>
  <si>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</si>
  <si>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</si>
  <si>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</si>
  <si>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</si>
  <si>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</si>
  <si>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</si>
  <si>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</si>
  <si>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</si>
  <si>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</si>
  <si>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</si>
  <si>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</si>
  <si>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</si>
  <si>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</si>
  <si>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</si>
  <si>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</si>
  <si>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</si>
  <si>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</si>
  <si>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</si>
  <si>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</si>
  <si>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</si>
  <si>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</si>
  <si>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</si>
  <si>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</si>
  <si>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</si>
  <si>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</si>
  <si>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</si>
  <si>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</si>
  <si>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</si>
  <si>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</si>
  <si>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</si>
  <si>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</si>
  <si>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</si>
  <si>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</si>
  <si>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</si>
  <si>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</si>
  <si>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</si>
  <si>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</si>
  <si>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</si>
  <si>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</si>
  <si>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</si>
  <si>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</si>
  <si>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</si>
  <si>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</si>
  <si>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</si>
  <si>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</si>
  <si>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</si>
  <si>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</si>
  <si>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</si>
  <si>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</si>
  <si>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</si>
  <si>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</si>
  <si>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</si>
  <si>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</si>
  <si>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</si>
  <si>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</si>
  <si>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</si>
  <si>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</si>
  <si>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</si>
  <si>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</si>
  <si>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</si>
  <si>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</si>
  <si>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</si>
  <si>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</si>
  <si>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</si>
  <si>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</si>
  <si>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</si>
  <si>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</si>
  <si>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</si>
  <si>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</si>
  <si>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</si>
  <si>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</si>
  <si>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</si>
  <si>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</si>
  <si>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</si>
  <si>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</si>
  <si>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</si>
  <si>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</si>
  <si>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</si>
  <si>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</si>
  <si>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</si>
  <si>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</si>
  <si>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</si>
  <si>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</si>
  <si>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</si>
  <si>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</si>
  <si>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</si>
  <si>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</si>
  <si>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</si>
  <si>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</si>
  <si>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</si>
  <si>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</si>
  <si>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</si>
  <si>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</si>
  <si>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</si>
  <si>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</si>
  <si>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</si>
  <si>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</si>
  <si>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</si>
  <si>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</si>
  <si>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</si>
  <si>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</si>
  <si>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</si>
  <si>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</si>
  <si>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</si>
  <si>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</si>
  <si>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</si>
  <si>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</si>
  <si>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</si>
  <si>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</si>
  <si>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</si>
  <si>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</si>
  <si>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</si>
  <si>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</si>
  <si>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</si>
  <si>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</si>
  <si>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</si>
  <si>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</si>
  <si>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</si>
  <si>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</si>
  <si>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</si>
  <si>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</si>
  <si>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</si>
  <si>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</si>
  <si>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</si>
  <si>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</si>
  <si>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</si>
  <si>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</si>
  <si>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</si>
  <si>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</si>
  <si>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</si>
  <si>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</si>
  <si>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</si>
  <si>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</si>
  <si>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</si>
  <si>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</si>
  <si>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</si>
  <si>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</si>
  <si>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</si>
  <si>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</si>
  <si>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</si>
  <si>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</si>
  <si>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</si>
  <si>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</si>
  <si>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</si>
  <si>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</si>
  <si>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</si>
  <si>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</si>
  <si>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</si>
  <si>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</si>
  <si>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</si>
  <si>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</si>
  <si>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</si>
  <si>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</si>
  <si>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</si>
  <si>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</si>
  <si>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</si>
  <si>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</si>
  <si>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</si>
  <si>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</si>
  <si>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</si>
  <si>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</si>
  <si>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</si>
  <si>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</si>
  <si>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</si>
  <si>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</si>
  <si>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</si>
  <si>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</si>
  <si>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</si>
  <si>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</si>
  <si>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</si>
  <si>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</si>
  <si>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</si>
  <si>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</si>
  <si>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</si>
  <si>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</si>
  <si>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</si>
  <si>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</si>
  <si>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</si>
  <si>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</si>
  <si>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</si>
  <si>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</si>
  <si>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</si>
  <si>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</si>
  <si>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</si>
  <si>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</si>
  <si>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</si>
  <si>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</si>
  <si>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</si>
  <si>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</si>
  <si>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</si>
  <si>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</si>
  <si>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</si>
  <si>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</si>
  <si>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</si>
  <si>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</si>
  <si>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</si>
  <si>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</si>
  <si>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</si>
  <si>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</si>
  <si>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</si>
  <si>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</si>
  <si>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</si>
  <si>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</si>
  <si>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</si>
  <si>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</si>
  <si>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</si>
  <si>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</si>
  <si>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</si>
  <si>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</si>
  <si>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</si>
  <si>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</si>
  <si>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</si>
  <si>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</si>
  <si>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</si>
  <si>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</si>
  <si>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</si>
  <si>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</si>
  <si>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</si>
  <si>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</si>
  <si>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</si>
  <si>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</si>
  <si>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</si>
  <si>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</si>
  <si>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</si>
  <si>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</si>
  <si>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</si>
  <si>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</si>
  <si>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</si>
  <si>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</si>
  <si>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</si>
  <si>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</si>
  <si>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</si>
  <si>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</si>
  <si>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</si>
  <si>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</si>
  <si>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</si>
  <si>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</si>
  <si>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</si>
  <si>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</si>
  <si>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</si>
  <si>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</si>
  <si>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</si>
  <si>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</si>
  <si>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</si>
  <si>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</si>
  <si>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</si>
  <si>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</si>
  <si>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</si>
  <si>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</si>
  <si>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</si>
  <si>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</si>
  <si>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</si>
  <si>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</si>
  <si>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</si>
  <si>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</si>
  <si>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</si>
  <si>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</si>
  <si>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</si>
  <si>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</si>
  <si>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</si>
  <si>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</si>
  <si>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</si>
  <si>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</si>
  <si>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</si>
  <si>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</si>
  <si>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</si>
  <si>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</si>
  <si>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</si>
  <si>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</si>
  <si>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</si>
  <si>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</si>
  <si>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</si>
  <si>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</si>
  <si>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</si>
  <si>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</si>
  <si>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</si>
  <si>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</si>
  <si>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</si>
  <si>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</si>
  <si>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</si>
  <si>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</si>
  <si>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</si>
  <si>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</si>
  <si>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</si>
  <si>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</si>
  <si>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</si>
  <si>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</si>
  <si>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</si>
  <si>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</si>
  <si>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</si>
  <si>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</si>
  <si>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</si>
  <si>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</si>
  <si>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</si>
  <si>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</si>
  <si>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</si>
  <si>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</si>
  <si>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</si>
  <si>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</si>
  <si>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</si>
  <si>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</si>
  <si>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</si>
  <si>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</si>
  <si>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</si>
  <si>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</si>
  <si>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</si>
  <si>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</si>
  <si>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</si>
  <si>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</si>
  <si>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</si>
  <si>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</si>
  <si>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</si>
  <si>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</si>
  <si>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</si>
  <si>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</si>
  <si>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</si>
  <si>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</si>
  <si>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</si>
  <si>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</si>
  <si>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</si>
  <si>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</si>
  <si>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</si>
  <si>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</si>
  <si>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</si>
  <si>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</si>
  <si>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</si>
  <si>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</si>
  <si>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</si>
  <si>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</si>
  <si>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</si>
  <si>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</si>
  <si>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</si>
  <si>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</si>
  <si>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</si>
  <si>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</si>
  <si>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</si>
  <si>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</si>
  <si>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</si>
  <si>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</si>
  <si>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</si>
  <si>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</si>
  <si>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</si>
  <si>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</si>
  <si>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</si>
  <si>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</si>
  <si>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</si>
  <si>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</si>
  <si>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</si>
  <si>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</si>
  <si>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</si>
  <si>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</si>
  <si>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</si>
  <si>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</si>
  <si>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</si>
  <si>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</si>
  <si>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</si>
  <si>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</si>
  <si>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</si>
  <si>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</si>
  <si>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</si>
  <si>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</si>
  <si>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</si>
  <si>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</si>
  <si>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</si>
  <si>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</si>
  <si>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</si>
  <si>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</si>
  <si>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</si>
  <si>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</si>
  <si>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</si>
  <si>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</si>
  <si>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</si>
  <si>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</si>
  <si>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</si>
  <si>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</si>
  <si>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</si>
  <si>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</si>
  <si>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</si>
  <si>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</si>
  <si>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</si>
  <si>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</si>
  <si>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</si>
  <si>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</si>
  <si>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</si>
  <si>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</si>
  <si>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</si>
  <si>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</si>
  <si>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</si>
  <si>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</si>
  <si>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</si>
  <si>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</si>
  <si>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</si>
  <si>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</si>
  <si>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</si>
  <si>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</si>
  <si>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</si>
  <si>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</si>
  <si>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</si>
  <si>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</si>
  <si>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</si>
  <si>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</si>
  <si>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</si>
  <si>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</si>
  <si>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</si>
  <si>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</si>
  <si>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</si>
  <si>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</si>
  <si>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</si>
  <si>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</si>
  <si>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</si>
  <si>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</si>
  <si>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</si>
  <si>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</si>
  <si>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</si>
  <si>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</si>
  <si>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</si>
  <si>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</si>
  <si>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</si>
  <si>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</si>
  <si>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</si>
  <si>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</si>
  <si>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</si>
  <si>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</si>
  <si>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</si>
  <si>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</si>
  <si>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</si>
  <si>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</si>
  <si>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</si>
  <si>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</si>
  <si>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</si>
  <si>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</si>
  <si>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</si>
  <si>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</si>
  <si>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</si>
  <si>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</si>
  <si>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</si>
  <si>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</si>
  <si>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</si>
  <si>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</si>
  <si>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</si>
  <si>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</si>
  <si>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</si>
  <si>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</si>
  <si>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</si>
  <si>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</si>
  <si>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</si>
  <si>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</si>
  <si>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</si>
  <si>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</si>
  <si>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</si>
  <si>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</si>
  <si>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</si>
  <si>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</si>
  <si>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</si>
  <si>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</si>
  <si>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</si>
  <si>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</si>
  <si>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</si>
  <si>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</si>
  <si>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</si>
  <si>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</si>
  <si>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</si>
  <si>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</si>
  <si>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</si>
  <si>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</si>
  <si>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</si>
  <si>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</si>
  <si>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</si>
  <si>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</si>
  <si>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</si>
  <si>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</si>
  <si>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</si>
  <si>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</si>
  <si>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</si>
  <si>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</si>
  <si>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</si>
  <si>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</si>
  <si>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</si>
  <si>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</si>
  <si>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</si>
  <si>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</si>
  <si>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</si>
  <si>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</si>
  <si>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</si>
  <si>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</si>
  <si>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</si>
  <si>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</si>
  <si>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</si>
  <si>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</si>
  <si>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</si>
  <si>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</si>
  <si>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</si>
  <si>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</si>
  <si>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</si>
  <si>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</si>
  <si>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</si>
  <si>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</si>
  <si>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</si>
  <si>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</si>
  <si>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</si>
  <si>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</si>
  <si>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</si>
  <si>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</si>
  <si>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</si>
  <si>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</si>
  <si>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</si>
  <si>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</si>
  <si>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</si>
  <si>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</si>
  <si>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</si>
  <si>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</si>
  <si>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</si>
  <si>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</si>
  <si>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</si>
  <si>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</si>
  <si>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</si>
  <si>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</si>
  <si>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</si>
  <si>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</si>
  <si>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</si>
  <si>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</si>
  <si>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</si>
  <si>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</si>
  <si>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</si>
  <si>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</si>
  <si>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</si>
  <si>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</si>
  <si>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</si>
  <si>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</si>
  <si>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</si>
  <si>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</si>
  <si>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</si>
  <si>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</si>
  <si>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</si>
  <si>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</si>
  <si>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</si>
  <si>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</si>
  <si>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</si>
  <si>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</si>
  <si>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</si>
  <si>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</si>
  <si>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</si>
  <si>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</si>
  <si>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</si>
  <si>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</si>
  <si>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</si>
  <si>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</si>
  <si>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</si>
  <si>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</si>
  <si>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</si>
  <si>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</si>
  <si>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</si>
  <si>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</si>
  <si>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</si>
  <si>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</si>
  <si>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</si>
  <si>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</si>
  <si>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</si>
  <si>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</si>
  <si>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</si>
  <si>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</si>
  <si>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</si>
  <si>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</si>
  <si>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</si>
  <si>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</si>
  <si>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</si>
  <si>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</si>
  <si>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</si>
  <si>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</si>
  <si>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</si>
  <si>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</si>
  <si>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</si>
  <si>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</si>
  <si>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</si>
  <si>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</si>
  <si>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</si>
  <si>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</si>
  <si>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</si>
  <si>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</si>
  <si>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</si>
  <si>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</si>
  <si>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</si>
  <si>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</si>
  <si>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</si>
  <si>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</si>
  <si>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</si>
  <si>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</si>
  <si>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</si>
  <si>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</si>
  <si>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</si>
  <si>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</si>
  <si>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</si>
  <si>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</si>
  <si>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</si>
  <si>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</si>
  <si>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</si>
  <si>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</si>
  <si>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</si>
  <si>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</si>
  <si>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</si>
  <si>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</si>
  <si>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</si>
  <si>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</si>
  <si>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</si>
  <si>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</si>
  <si>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</si>
  <si>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</si>
  <si>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</si>
  <si>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</si>
  <si>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</si>
  <si>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</si>
  <si>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</si>
  <si>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</si>
  <si>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</si>
  <si>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</si>
  <si>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</si>
  <si>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</si>
  <si>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</si>
  <si>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</si>
  <si>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</si>
  <si>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</si>
  <si>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</si>
  <si>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</si>
  <si>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</si>
  <si>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</si>
  <si>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</si>
  <si>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</si>
  <si>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</si>
  <si>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</si>
  <si>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</si>
  <si>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</si>
  <si>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</si>
  <si>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</si>
  <si>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</si>
  <si>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</si>
  <si>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</si>
  <si>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</si>
  <si>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</si>
  <si>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</si>
  <si>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</si>
  <si>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</si>
  <si>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</si>
  <si>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</si>
  <si>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</si>
  <si>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</si>
  <si>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</si>
  <si>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</si>
  <si>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</si>
  <si>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</si>
  <si>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</si>
  <si>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</si>
  <si>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</si>
  <si>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</si>
  <si>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</si>
  <si>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</si>
  <si>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</si>
  <si>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</si>
  <si>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</si>
  <si>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</si>
  <si>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</si>
  <si>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</si>
  <si>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</si>
  <si>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</si>
  <si>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</si>
  <si>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</si>
  <si>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</si>
  <si>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</si>
  <si>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</si>
  <si>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</si>
  <si>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</si>
  <si>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</si>
  <si>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</si>
  <si>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</si>
  <si>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</si>
  <si>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</si>
  <si>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</si>
  <si>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</si>
  <si>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</si>
  <si>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</si>
  <si>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</si>
  <si>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</si>
  <si>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</si>
  <si>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</si>
  <si>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</si>
  <si>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</si>
  <si>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</si>
  <si>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</si>
  <si>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</si>
  <si>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</si>
  <si>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</si>
  <si>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</si>
  <si>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</si>
  <si>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</si>
  <si>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</si>
  <si>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</si>
  <si>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</si>
  <si>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</si>
  <si>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</si>
  <si>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</si>
  <si>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</si>
  <si>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</si>
  <si>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</si>
  <si>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</si>
  <si>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</si>
  <si>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</si>
  <si>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</si>
  <si>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</si>
  <si>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</si>
  <si>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</si>
  <si>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</si>
  <si>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</si>
  <si>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</si>
  <si>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</si>
  <si>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</si>
  <si>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</si>
  <si>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</si>
  <si>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</si>
  <si>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</si>
  <si>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</si>
  <si>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</si>
  <si>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</si>
  <si>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</si>
  <si>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</si>
  <si>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</si>
  <si>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</si>
  <si>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</si>
  <si>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</si>
  <si>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</si>
  <si>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</si>
  <si>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</si>
  <si>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</si>
  <si>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</si>
  <si>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</si>
  <si>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</si>
  <si>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</si>
  <si>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</si>
  <si>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</si>
  <si>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</si>
  <si>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</si>
  <si>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</si>
  <si>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</si>
  <si>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</si>
  <si>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</si>
  <si>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</si>
  <si>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</si>
  <si>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</si>
  <si>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</si>
  <si>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</si>
  <si>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</si>
  <si>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</si>
  <si>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</si>
  <si>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</si>
  <si>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</si>
  <si>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</si>
  <si>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</si>
  <si>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</si>
  <si>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</si>
  <si>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</si>
  <si>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</si>
  <si>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</si>
  <si>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</si>
  <si>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</si>
  <si>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</si>
  <si>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</si>
  <si>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</si>
  <si>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</si>
  <si>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</si>
  <si>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</si>
  <si>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</si>
  <si>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</si>
  <si>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</si>
  <si>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</si>
  <si>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</si>
  <si>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</si>
  <si>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</si>
  <si>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</si>
  <si>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</si>
  <si>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</si>
  <si>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</si>
  <si>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</si>
  <si>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</si>
  <si>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</si>
  <si>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</si>
  <si>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</si>
  <si>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</si>
  <si>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</si>
  <si>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</si>
  <si>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</si>
  <si>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</si>
  <si>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</si>
  <si>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</si>
  <si>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</si>
  <si>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</si>
  <si>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</si>
  <si>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</si>
  <si>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</si>
  <si>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</si>
  <si>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</si>
  <si>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</si>
  <si>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</si>
  <si>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</si>
  <si>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</si>
  <si>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</si>
  <si>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</si>
  <si>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</si>
  <si>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</si>
  <si>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</si>
  <si>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</si>
  <si>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</si>
  <si>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</si>
  <si>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</si>
  <si>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</si>
  <si>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</si>
  <si>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</si>
  <si>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</si>
  <si>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</si>
  <si>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</si>
  <si>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</si>
  <si>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</si>
  <si>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</si>
  <si>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</si>
  <si>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</si>
  <si>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</si>
  <si>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</si>
  <si>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</si>
  <si>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</si>
  <si>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</si>
  <si>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</si>
  <si>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</si>
  <si>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</si>
  <si>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</si>
  <si>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</si>
  <si>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</si>
  <si>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</si>
  <si>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</si>
  <si>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</si>
  <si>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</si>
  <si>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</si>
  <si>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</si>
  <si>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</si>
  <si>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</si>
  <si>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</si>
  <si>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</si>
  <si>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</si>
  <si>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</si>
  <si>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</si>
  <si>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</si>
  <si>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</si>
  <si>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</si>
  <si>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</si>
  <si>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</si>
  <si>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</si>
  <si>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</si>
  <si>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</si>
  <si>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</si>
  <si>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</si>
  <si>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</si>
  <si>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</si>
  <si>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</si>
  <si>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</si>
  <si>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</si>
  <si>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</si>
  <si>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</si>
  <si>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</si>
  <si>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</si>
  <si>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</si>
  <si>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</si>
  <si>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</si>
  <si>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</si>
  <si>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</si>
  <si>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</si>
  <si>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</si>
  <si>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</si>
  <si>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</si>
  <si>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</si>
  <si>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</si>
  <si>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</si>
  <si>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</si>
  <si>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</si>
  <si>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</si>
  <si>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</si>
  <si>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</si>
  <si>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</si>
  <si>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</si>
  <si>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</si>
  <si>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</si>
  <si>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</si>
  <si>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</si>
  <si>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</si>
  <si>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</si>
  <si>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</si>
  <si>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</si>
  <si>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</si>
  <si>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</si>
  <si>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</si>
  <si>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</si>
  <si>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</si>
  <si>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</si>
  <si>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</si>
  <si>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</si>
  <si>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</si>
  <si>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</si>
  <si>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</si>
  <si>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</si>
  <si>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</si>
  <si>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</si>
  <si>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</si>
  <si>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</si>
  <si>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</si>
  <si>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</si>
  <si>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</si>
  <si>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</si>
  <si>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</si>
  <si>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</si>
  <si>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</si>
  <si>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</si>
  <si>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</si>
  <si>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</si>
  <si>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</si>
  <si>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</si>
  <si>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</si>
  <si>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</si>
  <si>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</si>
  <si>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</si>
  <si>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</si>
  <si>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</si>
  <si>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</si>
  <si>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</si>
  <si>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</si>
  <si>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</si>
  <si>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</si>
  <si>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</si>
  <si>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</si>
  <si>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</si>
  <si>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</si>
  <si>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</si>
  <si>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</si>
  <si>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</si>
  <si>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</si>
  <si>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</si>
  <si>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</si>
  <si>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</si>
  <si>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</si>
  <si>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</si>
  <si>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</si>
  <si>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</si>
  <si>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</si>
  <si>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</si>
  <si>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</si>
  <si>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</si>
  <si>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</si>
  <si>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</si>
  <si>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</si>
  <si>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</si>
  <si>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</si>
  <si>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</si>
  <si>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</si>
  <si>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</si>
  <si>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</si>
  <si>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</si>
  <si>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</si>
  <si>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</si>
  <si>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</si>
  <si>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</si>
  <si>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</si>
  <si>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</si>
  <si>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</si>
  <si>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</si>
  <si>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</si>
  <si>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</si>
  <si>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</si>
  <si>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</si>
  <si>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</si>
  <si>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</si>
  <si>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</si>
  <si>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</si>
  <si>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</si>
  <si>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</si>
  <si>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</si>
  <si>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</si>
  <si>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</si>
  <si>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</si>
  <si>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</si>
  <si>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</si>
  <si>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</si>
  <si>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</si>
  <si>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</si>
  <si>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</si>
  <si>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</si>
  <si>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</si>
  <si>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</si>
  <si>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</si>
  <si>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</si>
  <si>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</si>
  <si>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</si>
  <si>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</si>
  <si>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</si>
  <si>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</si>
  <si>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</si>
  <si>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</si>
  <si>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</si>
  <si>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</si>
  <si>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</si>
  <si>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</si>
  <si>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</si>
  <si>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</si>
  <si>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</si>
  <si>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</si>
  <si>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</si>
  <si>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</si>
  <si>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</si>
  <si>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</si>
  <si>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</si>
  <si>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</si>
  <si>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</si>
  <si>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</si>
  <si>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</si>
  <si>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</si>
  <si>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</si>
  <si>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</si>
  <si>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</si>
  <si>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</si>
  <si>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</si>
  <si>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</si>
  <si>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</si>
  <si>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</si>
  <si>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</si>
  <si>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</si>
  <si>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</si>
  <si>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</si>
  <si>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</si>
  <si>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</si>
  <si>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</si>
  <si>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</si>
  <si>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</si>
  <si>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</si>
  <si>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</si>
  <si>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</si>
  <si>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</si>
  <si>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</si>
  <si>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</si>
  <si>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</si>
  <si>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</si>
  <si>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</si>
  <si>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</si>
  <si>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</si>
  <si>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</si>
  <si>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</si>
  <si>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</si>
  <si>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</si>
  <si>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</si>
  <si>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</si>
  <si>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</si>
  <si>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</si>
  <si>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</si>
  <si>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</si>
  <si>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</si>
  <si>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</si>
  <si>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</si>
  <si>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</si>
  <si>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</si>
  <si>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</si>
  <si>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</si>
  <si>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</si>
  <si>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</si>
  <si>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</si>
  <si>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</si>
  <si>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</si>
  <si>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</si>
  <si>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</si>
  <si>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</si>
  <si>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</si>
  <si>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</si>
  <si>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</si>
  <si>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</si>
  <si>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</si>
  <si>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</si>
  <si>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</si>
  <si>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</si>
  <si>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</si>
  <si>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</si>
  <si>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</si>
  <si>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</si>
  <si>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</si>
  <si>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</si>
  <si>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</si>
  <si>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</si>
  <si>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</si>
  <si>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</si>
  <si>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</si>
  <si>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</si>
  <si>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</si>
  <si>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</si>
  <si>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</si>
  <si>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</si>
  <si>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</si>
  <si>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</si>
  <si>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</si>
  <si>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</si>
  <si>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</si>
  <si>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</si>
  <si>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</si>
  <si>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</si>
  <si>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</si>
  <si>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</si>
  <si>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</si>
  <si>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</si>
  <si>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</si>
  <si>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</si>
  <si>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</si>
  <si>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</si>
  <si>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</si>
  <si>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</si>
  <si>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</si>
  <si>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</si>
  <si>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</si>
  <si>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</si>
  <si>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</si>
  <si>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</si>
  <si>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</si>
  <si>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</si>
  <si>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</si>
  <si>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</si>
  <si>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</si>
  <si>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</si>
  <si>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</si>
  <si>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</si>
  <si>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</si>
  <si>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</si>
  <si>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</si>
  <si>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</si>
  <si>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</si>
  <si>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</si>
  <si>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</si>
  <si>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</si>
  <si>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</si>
  <si>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</si>
  <si>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</si>
  <si>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</si>
  <si>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</si>
  <si>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</si>
  <si>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</si>
  <si>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</si>
  <si>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</si>
  <si>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</si>
  <si>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</si>
  <si>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</si>
  <si>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</si>
  <si>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</si>
  <si>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</si>
  <si>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</si>
  <si>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</si>
  <si>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</si>
  <si>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</si>
  <si>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</si>
  <si>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</si>
  <si>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</si>
  <si>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</si>
  <si>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</si>
  <si>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</si>
  <si>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</si>
  <si>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</si>
  <si>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</si>
  <si>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</si>
  <si>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</si>
  <si>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</si>
  <si>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</si>
  <si>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</si>
  <si>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</si>
  <si>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</si>
  <si>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</si>
  <si>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</si>
  <si>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</si>
  <si>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</si>
  <si>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</si>
  <si>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</si>
  <si>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</si>
  <si>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</si>
  <si>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</si>
  <si>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</si>
  <si>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</si>
  <si>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</si>
  <si>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</si>
  <si>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</si>
  <si>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</si>
  <si>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</si>
  <si>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</si>
  <si>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</si>
  <si>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</si>
  <si>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</si>
  <si>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</si>
  <si>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</si>
  <si>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</si>
  <si>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</si>
  <si>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</si>
  <si>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</si>
  <si>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</si>
  <si>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</si>
  <si>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</si>
  <si>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</si>
  <si>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</si>
  <si>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</si>
  <si>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</si>
  <si>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</si>
  <si>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</si>
  <si>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</si>
  <si>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</si>
  <si>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</si>
  <si>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</si>
  <si>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</si>
  <si>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</si>
  <si>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</si>
  <si>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</si>
  <si>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</si>
  <si>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</si>
  <si>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</si>
  <si>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</si>
  <si>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</si>
  <si>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</si>
  <si>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</si>
  <si>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</si>
  <si>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</si>
  <si>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</si>
  <si>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</si>
  <si>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</si>
  <si>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</si>
  <si>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</si>
  <si>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</si>
  <si>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</si>
  <si>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</si>
  <si>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</si>
  <si>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</si>
  <si>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</si>
  <si>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</si>
  <si>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</si>
  <si>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</si>
  <si>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</si>
  <si>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</si>
  <si>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</si>
  <si>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</si>
  <si>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</si>
  <si>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</si>
  <si>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</si>
  <si>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</si>
  <si>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</si>
  <si>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</si>
  <si>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</si>
  <si>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</si>
  <si>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</si>
  <si>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</si>
  <si>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</si>
  <si>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</si>
  <si>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</si>
  <si>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</si>
  <si>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</si>
  <si>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</si>
  <si>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</si>
  <si>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</si>
  <si>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</si>
  <si>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</si>
  <si>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</si>
  <si>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</si>
  <si>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</si>
  <si>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</si>
  <si>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</si>
  <si>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</si>
  <si>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</si>
  <si>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</si>
  <si>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</si>
  <si>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</si>
  <si>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</si>
  <si>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</si>
  <si>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</si>
  <si>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</si>
  <si>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</si>
  <si>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</si>
  <si>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</si>
  <si>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</si>
  <si>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</si>
  <si>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</si>
  <si>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</si>
  <si>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</si>
  <si>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</si>
  <si>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</si>
  <si>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</si>
  <si>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</si>
  <si>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</si>
  <si>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</si>
  <si>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</si>
  <si>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</si>
  <si>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</si>
  <si>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</si>
  <si>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</si>
  <si>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</si>
  <si>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</si>
  <si>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</si>
  <si>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</si>
  <si>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</si>
  <si>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</si>
  <si>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</si>
  <si>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</si>
  <si>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</si>
  <si>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</si>
  <si>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</si>
  <si>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</si>
  <si>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</si>
  <si>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</si>
  <si>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</si>
  <si>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</si>
  <si>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</si>
  <si>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</si>
  <si>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</si>
  <si>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</si>
  <si>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</si>
  <si>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</si>
  <si>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</si>
  <si>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</si>
  <si>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</si>
  <si>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</si>
  <si>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</si>
  <si>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</si>
  <si>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</si>
  <si>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</si>
  <si>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</si>
  <si>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</si>
  <si>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</si>
  <si>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</si>
  <si>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</si>
  <si>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</si>
  <si>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</si>
  <si>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</si>
  <si>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</si>
  <si>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</si>
  <si>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</si>
  <si>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</si>
  <si>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</si>
  <si>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</si>
  <si>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</si>
  <si>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</si>
  <si>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</si>
  <si>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</si>
  <si>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</si>
  <si>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</si>
  <si>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</si>
  <si>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</si>
  <si>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</si>
  <si>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</si>
  <si>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</si>
  <si>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</si>
  <si>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</si>
  <si>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</si>
  <si>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</si>
  <si>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</si>
  <si>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</si>
  <si>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</si>
  <si>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</si>
  <si>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</si>
  <si>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</si>
  <si>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</si>
  <si>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</si>
  <si>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</si>
  <si>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</si>
  <si>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</si>
  <si>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</si>
  <si>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</si>
  <si>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</si>
  <si>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</si>
  <si>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</si>
  <si>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</si>
  <si>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</si>
  <si>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</si>
  <si>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</si>
  <si>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</si>
  <si>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</si>
  <si>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</si>
  <si>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</si>
  <si>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</si>
  <si>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</si>
  <si>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</si>
  <si>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</si>
  <si>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</si>
  <si>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</si>
  <si>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</si>
  <si>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</si>
  <si>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</si>
  <si>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</si>
  <si>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</si>
  <si>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</si>
  <si>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</si>
  <si>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</si>
  <si>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</si>
  <si>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</si>
  <si>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</si>
  <si>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</si>
  <si>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</si>
  <si>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</si>
  <si>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</si>
  <si>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</si>
  <si>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</si>
  <si>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</si>
  <si>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</si>
  <si>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</si>
  <si>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</si>
  <si>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</si>
  <si>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</si>
  <si>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</si>
  <si>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</si>
  <si>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</si>
  <si>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</si>
  <si>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</si>
  <si>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</si>
  <si>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</si>
  <si>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</si>
  <si>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</si>
  <si>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</si>
  <si>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</si>
  <si>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</si>
  <si>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</si>
  <si>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</si>
  <si>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</si>
  <si>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</si>
  <si>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</si>
  <si>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</si>
  <si>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</si>
  <si>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</si>
  <si>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</si>
  <si>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</si>
  <si>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</si>
  <si>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</si>
  <si>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</si>
  <si>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</si>
  <si>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</si>
  <si>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</si>
  <si>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</si>
  <si>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</si>
  <si>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</si>
  <si>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</si>
  <si>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</si>
  <si>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</si>
  <si>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</si>
  <si>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</si>
  <si>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</si>
  <si>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</si>
  <si>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</si>
  <si>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</si>
  <si>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</si>
  <si>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</si>
  <si>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</si>
  <si>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</si>
  <si>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</si>
  <si>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</si>
  <si>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</si>
  <si>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</si>
  <si>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</si>
  <si>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</si>
  <si>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</si>
  <si>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</si>
  <si>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</si>
  <si>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</si>
  <si>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</si>
  <si>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</si>
  <si>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</si>
  <si>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</si>
  <si>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</si>
  <si>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</si>
  <si>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</si>
  <si>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</si>
  <si>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</si>
  <si>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</si>
  <si>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</si>
  <si>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</si>
  <si>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</si>
  <si>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</si>
  <si>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</si>
  <si>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</si>
  <si>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</si>
  <si>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</si>
  <si>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</si>
  <si>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</si>
  <si>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</si>
  <si>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</si>
  <si>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</si>
  <si>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</si>
  <si>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</si>
  <si>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</si>
  <si>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</si>
  <si>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</si>
  <si>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</si>
  <si>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</si>
  <si>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</si>
  <si>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</si>
  <si>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</si>
  <si>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</si>
  <si>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</si>
  <si>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</si>
  <si>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</si>
  <si>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</si>
  <si>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</si>
  <si>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</si>
  <si>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</si>
  <si>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</si>
  <si>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</si>
  <si>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</si>
  <si>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</si>
  <si>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</si>
  <si>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</si>
  <si>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</si>
  <si>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</si>
  <si>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</si>
  <si>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</si>
  <si>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</si>
  <si>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</si>
  <si>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</si>
  <si>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</si>
  <si>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</si>
  <si>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</si>
  <si>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</si>
  <si>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</si>
  <si>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</si>
  <si>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</si>
  <si>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</si>
  <si>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</si>
  <si>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</si>
  <si>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</si>
  <si>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</si>
  <si>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</si>
  <si>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</si>
  <si>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</si>
  <si>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</si>
  <si>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</si>
  <si>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</si>
  <si>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</si>
  <si>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</si>
  <si>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</si>
  <si>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</si>
  <si>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</si>
  <si>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</si>
  <si>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</si>
  <si>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</si>
  <si>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</si>
  <si>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</si>
  <si>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</si>
  <si>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</si>
  <si>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</si>
  <si>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</si>
  <si>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</si>
  <si>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</si>
  <si>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</si>
  <si>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</si>
  <si>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</si>
  <si>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</si>
  <si>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</si>
  <si>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</si>
  <si>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</si>
  <si>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</si>
  <si>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</si>
  <si>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</si>
  <si>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</si>
  <si>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</si>
  <si>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</si>
  <si>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</si>
  <si>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</si>
  <si>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</si>
  <si>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</si>
  <si>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</si>
  <si>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</si>
  <si>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</si>
  <si>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</si>
  <si>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</si>
  <si>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</si>
  <si>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</si>
  <si>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</si>
  <si>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</si>
  <si>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</si>
  <si>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</si>
  <si>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</si>
  <si>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</si>
  <si>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</si>
  <si>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</si>
  <si>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</si>
  <si>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</si>
  <si>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</si>
  <si>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</si>
  <si>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</si>
  <si>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</si>
  <si>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</si>
  <si>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</si>
  <si>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</si>
  <si>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</si>
  <si>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</si>
  <si>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</si>
  <si>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</si>
  <si>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</si>
  <si>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</si>
  <si>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</si>
  <si>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</si>
  <si>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</si>
  <si>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</si>
  <si>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</si>
  <si>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</si>
  <si>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</si>
  <si>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</si>
  <si>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</si>
  <si>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</si>
  <si>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</si>
  <si>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</si>
  <si>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</si>
  <si>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</si>
  <si>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</si>
  <si>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</si>
  <si>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</si>
  <si>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</si>
  <si>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</si>
  <si>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</si>
  <si>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</si>
  <si>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</si>
  <si>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</si>
  <si>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</si>
  <si>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</si>
  <si>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</si>
  <si>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</si>
  <si>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</si>
  <si>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</si>
  <si>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</si>
  <si>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</si>
  <si>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</si>
  <si>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</si>
  <si>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</si>
  <si>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</si>
  <si>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</si>
  <si>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</si>
  <si>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</si>
  <si>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</si>
  <si>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</si>
  <si>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</si>
  <si>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</si>
  <si>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</si>
  <si>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</si>
  <si>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</si>
  <si>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</si>
  <si>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</si>
  <si>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</si>
  <si>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</si>
  <si>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</si>
  <si>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</si>
  <si>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</si>
  <si>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</si>
  <si>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</si>
  <si>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</si>
  <si>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</si>
  <si>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</si>
  <si>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</si>
  <si>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</si>
  <si>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</si>
  <si>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</si>
  <si>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</si>
  <si>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</si>
  <si>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</si>
  <si>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</si>
  <si>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</si>
  <si>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</si>
  <si>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</si>
  <si>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</si>
  <si>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</si>
  <si>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</si>
  <si>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</si>
  <si>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</si>
  <si>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</si>
  <si>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</si>
  <si>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</si>
  <si>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</si>
  <si>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</si>
  <si>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</si>
  <si>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</si>
  <si>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</si>
  <si>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</si>
  <si>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</si>
  <si>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</si>
  <si>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</si>
  <si>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</si>
  <si>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</si>
  <si>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</si>
  <si>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</si>
  <si>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</si>
  <si>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</si>
  <si>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</si>
  <si>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</si>
  <si>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</si>
  <si>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</si>
  <si>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</si>
  <si>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</si>
  <si>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</si>
  <si>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</si>
  <si>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</si>
  <si>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</si>
  <si>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</si>
  <si>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</si>
  <si>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</si>
  <si>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</si>
  <si>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</si>
  <si>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</si>
  <si>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</si>
  <si>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</si>
  <si>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</si>
  <si>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</si>
  <si>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</si>
  <si>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</si>
  <si>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</si>
  <si>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</si>
  <si>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</si>
  <si>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</si>
  <si>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</si>
  <si>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</si>
  <si>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</si>
  <si>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</si>
  <si>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</si>
  <si>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</si>
  <si>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</si>
  <si>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</si>
  <si>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</si>
  <si>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</si>
  <si>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</si>
  <si>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</si>
  <si>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</si>
  <si>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</si>
  <si>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</si>
  <si>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</si>
  <si>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</si>
  <si>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</si>
  <si>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</si>
  <si>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</si>
  <si>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</si>
  <si>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</si>
  <si>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</si>
  <si>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</si>
  <si>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</si>
  <si>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</si>
  <si>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</si>
  <si>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</si>
  <si>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</si>
  <si>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</si>
  <si>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</si>
  <si>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</si>
  <si>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</si>
  <si>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</si>
  <si>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</si>
  <si>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</si>
  <si>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</si>
  <si>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</si>
  <si>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</si>
  <si>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</si>
  <si>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</si>
  <si>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</si>
  <si>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</si>
  <si>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</si>
  <si>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</si>
  <si>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</si>
  <si>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</si>
  <si>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</si>
  <si>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</si>
  <si>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</si>
  <si>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</si>
  <si>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</si>
  <si>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</si>
  <si>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</si>
  <si>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</si>
  <si>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</si>
  <si>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</si>
  <si>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</si>
  <si>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</si>
  <si>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</si>
  <si>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</si>
  <si>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</si>
  <si>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</si>
  <si>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</si>
  <si>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</si>
  <si>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</si>
  <si>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</si>
  <si>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</si>
  <si>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</si>
  <si>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</si>
  <si>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</si>
  <si>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</si>
  <si>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</si>
  <si>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</si>
  <si>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</si>
  <si>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</si>
  <si>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</si>
  <si>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</si>
  <si>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</si>
  <si>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</si>
  <si>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</si>
  <si>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</si>
  <si>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</si>
  <si>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</si>
  <si>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</si>
  <si>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</si>
  <si>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</si>
  <si>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</si>
  <si>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</si>
  <si>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</si>
  <si>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</si>
  <si>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</si>
  <si>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</si>
  <si>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</si>
  <si>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</si>
  <si>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</si>
  <si>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</si>
  <si>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</si>
  <si>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</si>
  <si>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</si>
  <si>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</si>
  <si>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</si>
  <si>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</si>
  <si>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</si>
  <si>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</si>
  <si>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</si>
  <si>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</si>
  <si>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</si>
  <si>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</si>
  <si>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</si>
  <si>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</si>
  <si>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</si>
  <si>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</si>
  <si>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</si>
  <si>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</si>
  <si>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</si>
  <si>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</si>
  <si>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</si>
  <si>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</si>
  <si>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</si>
  <si>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</si>
  <si>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</si>
  <si>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</si>
  <si>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</si>
  <si>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</si>
  <si>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</si>
  <si>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</si>
  <si>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</si>
  <si>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</si>
  <si>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</si>
  <si>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</si>
  <si>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</si>
  <si>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</si>
  <si>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</si>
  <si>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</si>
  <si>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</si>
  <si>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</si>
  <si>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</si>
  <si>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</si>
  <si>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</si>
  <si>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</si>
  <si>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</si>
  <si>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</si>
  <si>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</si>
  <si>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</si>
  <si>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</si>
  <si>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</si>
  <si>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</si>
  <si>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</si>
  <si>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</si>
  <si>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</si>
  <si>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</si>
  <si>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</si>
  <si>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</si>
  <si>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</si>
  <si>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</si>
  <si>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</si>
  <si>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</si>
  <si>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</si>
  <si>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</si>
  <si>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</si>
  <si>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</si>
  <si>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</si>
  <si>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</si>
  <si>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</si>
  <si>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</si>
  <si>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</si>
  <si>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</si>
  <si>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</si>
  <si>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</si>
  <si>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</si>
  <si>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</si>
  <si>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</si>
  <si>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</si>
  <si>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</si>
  <si>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</si>
  <si>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</si>
  <si>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</si>
  <si>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</si>
  <si>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</si>
  <si>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</si>
  <si>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</si>
  <si>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</si>
  <si>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</si>
  <si>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</si>
  <si>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</si>
  <si>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</si>
  <si>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</si>
  <si>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</si>
  <si>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</si>
  <si>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</si>
  <si>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</si>
  <si>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</si>
  <si>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</si>
  <si>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</si>
  <si>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</si>
  <si>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</si>
  <si>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</si>
  <si>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</si>
  <si>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</si>
  <si>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</si>
  <si>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</si>
  <si>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</si>
  <si>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</si>
  <si>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</si>
  <si>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</si>
  <si>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</si>
  <si>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</si>
  <si>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</si>
  <si>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</si>
  <si>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</si>
  <si>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</si>
  <si>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</si>
  <si>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</si>
  <si>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</si>
  <si>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</si>
  <si>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</si>
  <si>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</si>
  <si>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</si>
  <si>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</si>
  <si>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</si>
  <si>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</si>
  <si>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</si>
  <si>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</si>
  <si>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</si>
  <si>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</si>
  <si>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</si>
  <si>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</si>
  <si>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</si>
  <si>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</si>
  <si>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</si>
  <si>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</si>
  <si>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</si>
  <si>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</si>
  <si>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</si>
  <si>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</si>
  <si>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</si>
  <si>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</si>
  <si>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</si>
  <si>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</si>
  <si>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</si>
  <si>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</si>
  <si>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</si>
  <si>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</si>
  <si>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</si>
  <si>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</si>
  <si>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</si>
  <si>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</si>
  <si>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</si>
  <si>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</si>
  <si>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</si>
  <si>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</si>
  <si>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</si>
  <si>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</si>
  <si>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</si>
  <si>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</si>
  <si>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</si>
  <si>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</si>
  <si>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</si>
  <si>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</si>
  <si>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</si>
  <si>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</si>
  <si>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</si>
  <si>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</si>
  <si>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</si>
  <si>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</si>
  <si>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</si>
  <si>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</si>
  <si>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</si>
  <si>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</si>
  <si>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</si>
  <si>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</si>
  <si>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</si>
  <si>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</si>
  <si>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</si>
  <si>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</si>
  <si>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</si>
  <si>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</si>
  <si>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</si>
  <si>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</si>
  <si>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</si>
  <si>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</si>
  <si>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</si>
  <si>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</si>
  <si>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</si>
  <si>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</si>
  <si>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</si>
  <si>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</si>
  <si>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</si>
  <si>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</si>
  <si>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</si>
  <si>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</si>
  <si>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</si>
  <si>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</si>
  <si>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</si>
  <si>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</si>
  <si>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</si>
  <si>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</si>
  <si>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</si>
  <si>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</si>
  <si>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</si>
  <si>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</si>
  <si>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</si>
  <si>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</si>
  <si>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</si>
  <si>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</si>
  <si>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</si>
  <si>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</si>
  <si>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</si>
  <si>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</si>
  <si>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</si>
  <si>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</si>
  <si>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</si>
  <si>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</si>
  <si>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</si>
  <si>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</si>
  <si>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</si>
  <si>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</si>
  <si>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</si>
  <si>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</si>
  <si>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</si>
  <si>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</si>
  <si>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</si>
  <si>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</si>
  <si>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</si>
  <si>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</si>
  <si>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</si>
  <si>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</si>
  <si>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</si>
  <si>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</si>
  <si>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</si>
  <si>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</si>
  <si>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</si>
  <si>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</si>
  <si>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</si>
  <si>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</si>
  <si>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</si>
  <si>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</si>
  <si>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</si>
  <si>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</si>
  <si>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</si>
  <si>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</si>
  <si>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</si>
  <si>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</si>
  <si>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</si>
  <si>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</si>
  <si>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</si>
  <si>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</si>
  <si>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</si>
  <si>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</si>
  <si>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</si>
  <si>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</si>
  <si>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</si>
  <si>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</si>
  <si>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</si>
  <si>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</si>
  <si>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</si>
  <si>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</si>
  <si>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</si>
  <si>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</si>
  <si>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</si>
  <si>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</si>
  <si>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</si>
  <si>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</si>
  <si>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</si>
  <si>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</si>
  <si>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</si>
  <si>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</si>
  <si>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</si>
  <si>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</si>
  <si>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</si>
  <si>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</si>
  <si>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</si>
  <si>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</si>
  <si>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</si>
  <si>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</si>
  <si>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</si>
  <si>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</si>
  <si>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</si>
  <si>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</si>
  <si>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</si>
  <si>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</si>
  <si>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</si>
  <si>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</si>
  <si>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</si>
  <si>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</si>
  <si>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</si>
  <si>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</si>
  <si>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</si>
  <si>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</si>
  <si>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</si>
  <si>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</si>
  <si>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</si>
  <si>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</si>
  <si>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</si>
  <si>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</si>
  <si>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</si>
  <si>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</si>
  <si>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</si>
  <si>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</si>
  <si>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</si>
  <si>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</si>
  <si>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</si>
  <si>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</si>
  <si>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</si>
  <si>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</si>
  <si>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</si>
  <si>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</si>
  <si>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</si>
  <si>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</si>
  <si>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</si>
  <si>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</si>
  <si>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</si>
  <si>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</si>
  <si>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</si>
  <si>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</si>
  <si>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</si>
  <si>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</si>
  <si>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</si>
  <si>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</si>
  <si>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</si>
  <si>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</si>
  <si>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</si>
  <si>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</si>
  <si>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</si>
  <si>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</si>
  <si>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</si>
  <si>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</si>
  <si>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</si>
  <si>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</si>
  <si>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</si>
  <si>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</si>
  <si>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</si>
  <si>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</si>
  <si>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</si>
  <si>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</si>
  <si>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</si>
  <si>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</si>
  <si>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</si>
  <si>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</si>
  <si>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</si>
  <si>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</si>
  <si>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</si>
  <si>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</si>
  <si>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</si>
  <si>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</si>
  <si>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</si>
  <si>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</si>
  <si>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</si>
  <si>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</si>
  <si>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</si>
  <si>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</si>
  <si>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</si>
  <si>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</si>
  <si>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</si>
  <si>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</si>
  <si>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</si>
  <si>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</si>
  <si>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</si>
  <si>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</si>
  <si>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</si>
  <si>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</si>
  <si>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</si>
  <si>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</si>
  <si>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</si>
  <si>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</si>
  <si>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</si>
  <si>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</si>
  <si>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</si>
  <si>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</si>
  <si>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</si>
  <si>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</si>
  <si>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</si>
  <si>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</si>
  <si>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</si>
  <si>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</si>
  <si>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</si>
  <si>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</si>
  <si>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</si>
  <si>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</si>
  <si>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</si>
  <si>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</si>
  <si>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</si>
  <si>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</si>
  <si>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</si>
  <si>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</si>
  <si>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</si>
  <si>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</si>
  <si>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</si>
  <si>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</si>
  <si>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</si>
  <si>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</si>
  <si>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</si>
  <si>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</si>
  <si>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</si>
  <si>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</si>
  <si>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</si>
  <si>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</si>
  <si>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</si>
  <si>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</si>
  <si>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</si>
  <si>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</si>
  <si>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</si>
  <si>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</si>
  <si>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</si>
  <si>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</si>
  <si>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</si>
  <si>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</si>
  <si>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</si>
  <si>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</si>
  <si>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</si>
  <si>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</si>
  <si>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</si>
  <si>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</si>
  <si>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</si>
  <si>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</si>
  <si>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</si>
  <si>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</si>
  <si>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</si>
  <si>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</si>
  <si>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</si>
  <si>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</si>
  <si>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</si>
  <si>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</si>
  <si>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</si>
  <si>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</si>
  <si>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</si>
  <si>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</si>
  <si>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</si>
  <si>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</si>
  <si>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</si>
  <si>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</si>
  <si>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</si>
  <si>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</si>
  <si>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</si>
  <si>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</si>
  <si>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</si>
  <si>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</si>
  <si>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</si>
  <si>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</si>
  <si>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</si>
  <si>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</si>
  <si>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</si>
  <si>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</si>
  <si>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</si>
  <si>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</si>
  <si>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</si>
  <si>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</si>
  <si>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</si>
  <si>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</si>
  <si>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</si>
  <si>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</si>
  <si>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</si>
  <si>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</si>
  <si>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</si>
  <si>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</si>
  <si>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</si>
  <si>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</si>
  <si>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</si>
  <si>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</si>
  <si>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</si>
  <si>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</si>
  <si>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</si>
  <si>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</si>
  <si>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</si>
  <si>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</si>
  <si>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</si>
  <si>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</si>
  <si>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</si>
  <si>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</si>
  <si>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</si>
  <si>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</si>
  <si>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</si>
  <si>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</si>
  <si>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</si>
  <si>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</si>
  <si>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</si>
  <si>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</si>
  <si>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</si>
  <si>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</si>
  <si>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</si>
  <si>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</si>
  <si>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</si>
  <si>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</si>
  <si>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</si>
  <si>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</si>
  <si>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</si>
  <si>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</si>
  <si>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</si>
  <si>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</si>
  <si>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</si>
  <si>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</si>
  <si>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</si>
  <si>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</si>
  <si>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</si>
  <si>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</si>
  <si>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</si>
  <si>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</si>
  <si>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</si>
  <si>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</si>
  <si>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</si>
  <si>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</si>
  <si>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</si>
  <si>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</si>
  <si>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</si>
  <si>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</si>
  <si>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</si>
  <si>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</si>
  <si>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</si>
  <si>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</si>
  <si>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</si>
  <si>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</si>
  <si>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</si>
  <si>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</si>
  <si>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</si>
  <si>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</si>
  <si>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</si>
  <si>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</si>
  <si>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</si>
  <si>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</si>
  <si>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</si>
  <si>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</si>
  <si>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</si>
  <si>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</si>
  <si>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</si>
  <si>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</si>
  <si>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</si>
  <si>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</si>
  <si>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</si>
  <si>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</si>
  <si>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</si>
  <si>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</si>
  <si>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</si>
  <si>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</si>
  <si>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</si>
  <si>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</si>
  <si>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</si>
  <si>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</si>
  <si>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</si>
  <si>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</si>
  <si>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</si>
  <si>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</si>
  <si>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</si>
  <si>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</si>
  <si>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</si>
  <si>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</si>
  <si>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</si>
  <si>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</si>
  <si>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</si>
  <si>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</si>
  <si>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</si>
  <si>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</si>
  <si>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</si>
  <si>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</si>
  <si>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</si>
  <si>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</si>
  <si>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</si>
  <si>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</si>
  <si>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</si>
  <si>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</si>
  <si>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</si>
  <si>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</si>
  <si>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</si>
  <si>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</si>
  <si>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</si>
  <si>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</si>
  <si>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</si>
  <si>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</si>
  <si>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</si>
  <si>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</si>
  <si>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</si>
  <si>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</si>
  <si>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</si>
  <si>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</si>
  <si>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</si>
  <si>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</si>
  <si>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</si>
  <si>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</si>
  <si>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</si>
  <si>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</si>
  <si>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</si>
  <si>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</si>
  <si>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</si>
  <si>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</si>
  <si>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</si>
  <si>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</si>
  <si>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</si>
  <si>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</si>
  <si>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</si>
  <si>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</si>
  <si>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</si>
  <si>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</si>
  <si>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</si>
  <si>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</si>
  <si>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</si>
  <si>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</si>
  <si>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</si>
  <si>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</si>
  <si>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</si>
  <si>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</si>
  <si>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</si>
  <si>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</si>
  <si>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</si>
  <si>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</si>
  <si>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</si>
  <si>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</si>
  <si>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</si>
  <si>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</si>
  <si>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</si>
  <si>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</si>
  <si>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</si>
  <si>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</si>
  <si>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</si>
  <si>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</si>
  <si>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</si>
  <si>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</si>
  <si>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</si>
  <si>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</si>
  <si>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</si>
  <si>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</si>
  <si>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</si>
  <si>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</si>
  <si>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</si>
  <si>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</si>
  <si>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</si>
  <si>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</si>
  <si>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</si>
  <si>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</si>
  <si>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</si>
  <si>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</si>
  <si>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</si>
  <si>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</si>
  <si>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</si>
  <si>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</si>
  <si>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</si>
  <si>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</si>
  <si>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</si>
  <si>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</si>
  <si>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</si>
  <si>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</si>
  <si>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</si>
  <si>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</si>
  <si>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</si>
  <si>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</si>
  <si>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</si>
  <si>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</si>
  <si>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</si>
  <si>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</si>
  <si>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</si>
  <si>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</si>
  <si>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</si>
  <si>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</si>
  <si>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</si>
  <si>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</si>
  <si>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</si>
  <si>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</si>
  <si>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</si>
  <si>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</si>
  <si>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</si>
  <si>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</si>
  <si>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</si>
  <si>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</si>
  <si>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</si>
  <si>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</si>
  <si>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</si>
  <si>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</si>
  <si>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</si>
  <si>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</si>
  <si>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</si>
  <si>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</si>
  <si>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</si>
  <si>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</si>
  <si>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</si>
  <si>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</si>
  <si>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</si>
  <si>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</si>
  <si>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</si>
  <si>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</si>
  <si>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</si>
  <si>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</si>
  <si>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</si>
  <si>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</si>
  <si>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</si>
  <si>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</si>
  <si>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</si>
  <si>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</si>
  <si>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</si>
  <si>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</si>
  <si>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</si>
  <si>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</si>
  <si>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</si>
  <si>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</si>
  <si>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</si>
  <si>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</si>
  <si>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</si>
  <si>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</si>
  <si>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</si>
  <si>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</si>
  <si>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</si>
  <si>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</si>
  <si>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</si>
  <si>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</si>
  <si>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</si>
  <si>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</si>
  <si>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</si>
  <si>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</si>
  <si>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</si>
  <si>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</si>
  <si>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</si>
  <si>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</si>
  <si>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</si>
  <si>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</si>
  <si>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</si>
  <si>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</si>
  <si>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</si>
  <si>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</si>
  <si>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</si>
  <si>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</si>
  <si>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</si>
  <si>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</si>
  <si>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</si>
  <si>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</si>
  <si>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</si>
  <si>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</si>
  <si>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</si>
  <si>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</si>
  <si>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</si>
  <si>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</si>
  <si>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</si>
  <si>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</si>
  <si>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</si>
  <si>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</si>
  <si>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</si>
  <si>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</si>
  <si>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</si>
  <si>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</si>
  <si>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</si>
  <si>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</si>
  <si>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</si>
  <si>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</si>
  <si>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</si>
  <si>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</si>
  <si>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</si>
  <si>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</si>
  <si>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</si>
  <si>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</si>
  <si>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</si>
  <si>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</si>
  <si>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</si>
  <si>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</si>
  <si>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</si>
  <si>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</si>
  <si>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</si>
  <si>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</si>
  <si>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</si>
  <si>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</si>
  <si>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</si>
  <si>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</si>
  <si>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</si>
  <si>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</si>
  <si>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</si>
  <si>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</si>
  <si>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</si>
  <si>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</si>
  <si>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</si>
  <si>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</si>
  <si>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</si>
  <si>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</si>
  <si>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</si>
  <si>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</si>
  <si>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</si>
  <si>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</si>
  <si>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</si>
  <si>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</si>
  <si>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</si>
  <si>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</si>
  <si>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</si>
  <si>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</si>
  <si>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</si>
  <si>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</si>
  <si>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</si>
  <si>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</si>
  <si>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</si>
  <si>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</si>
  <si>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</si>
  <si>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</si>
  <si>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</si>
  <si>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</si>
  <si>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</si>
  <si>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</si>
  <si>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</si>
  <si>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</si>
  <si>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</si>
  <si>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</si>
  <si>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</si>
  <si>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</si>
  <si>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</si>
  <si>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</si>
  <si>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</si>
  <si>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</si>
  <si>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</si>
  <si>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</si>
  <si>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</si>
  <si>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</si>
  <si>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</si>
  <si>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</si>
  <si>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</si>
  <si>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</si>
  <si>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</si>
  <si>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</si>
  <si>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</si>
  <si>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</si>
  <si>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</si>
  <si>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</si>
  <si>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</si>
  <si>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</si>
  <si>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</si>
  <si>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</si>
  <si>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</si>
  <si>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</si>
  <si>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</si>
  <si>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</si>
  <si>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</si>
  <si>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</si>
  <si>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</si>
  <si>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</si>
  <si>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</si>
  <si>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</si>
  <si>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</si>
  <si>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</si>
  <si>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</si>
  <si>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</si>
  <si>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</si>
  <si>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</si>
  <si>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</si>
  <si>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</si>
  <si>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</si>
  <si>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</si>
  <si>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</si>
  <si>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</si>
  <si>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</si>
  <si>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</si>
  <si>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</si>
  <si>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</si>
  <si>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</si>
  <si>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</si>
  <si>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</si>
  <si>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</si>
  <si>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</si>
  <si>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</si>
  <si>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</si>
  <si>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</si>
  <si>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</si>
  <si>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</si>
  <si>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</si>
  <si>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</si>
  <si>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</si>
  <si>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</si>
  <si>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</si>
  <si>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</si>
  <si>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</si>
  <si>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</si>
  <si>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</si>
  <si>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</si>
  <si>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</si>
  <si>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</si>
  <si>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</si>
  <si>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</si>
  <si>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</si>
  <si>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</si>
  <si>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</si>
  <si>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</si>
  <si>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</si>
  <si>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</si>
  <si>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</si>
  <si>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</si>
  <si>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</si>
  <si>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</si>
  <si>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</si>
  <si>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</si>
  <si>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</si>
  <si>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</si>
  <si>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</si>
  <si>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</si>
  <si>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</si>
  <si>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</si>
  <si>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</si>
  <si>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</si>
  <si>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</si>
  <si>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</si>
  <si>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</si>
  <si>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</si>
  <si>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</si>
  <si>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</si>
  <si>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</si>
  <si>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</si>
  <si>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</si>
  <si>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</si>
  <si>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</si>
  <si>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</si>
  <si>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</si>
  <si>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</si>
  <si>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</si>
  <si>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</si>
  <si>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</si>
  <si>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</si>
  <si>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</si>
  <si>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</si>
  <si>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</si>
  <si>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</si>
  <si>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</si>
  <si>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</si>
  <si>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</si>
  <si>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</si>
  <si>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</si>
  <si>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</si>
  <si>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</si>
  <si>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</si>
  <si>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</si>
  <si>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</si>
  <si>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</si>
  <si>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</si>
  <si>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</si>
  <si>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</si>
  <si>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</si>
  <si>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</si>
  <si>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</si>
  <si>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</si>
  <si>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</si>
  <si>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</si>
  <si>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</si>
  <si>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</si>
  <si>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</si>
  <si>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</si>
  <si>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</si>
  <si>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</si>
  <si>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</si>
  <si>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</si>
  <si>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</si>
  <si>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</si>
  <si>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</si>
  <si>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</si>
  <si>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</si>
  <si>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</si>
  <si>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</si>
  <si>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</si>
  <si>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</si>
  <si>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</si>
  <si>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</si>
  <si>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</si>
  <si>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</si>
  <si>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</si>
  <si>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</si>
  <si>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</si>
  <si>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</si>
  <si>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</si>
  <si>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</si>
  <si>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</si>
  <si>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</si>
  <si>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</si>
  <si>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</si>
  <si>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</si>
  <si>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</si>
  <si>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</si>
  <si>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</si>
  <si>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</si>
  <si>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</si>
  <si>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</si>
  <si>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</si>
  <si>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</si>
  <si>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</si>
  <si>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</si>
  <si>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</si>
  <si>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</si>
  <si>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</si>
  <si>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</si>
  <si>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</si>
  <si>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</si>
  <si>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</si>
  <si>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</si>
  <si>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</si>
  <si>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</si>
  <si>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</si>
  <si>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</si>
  <si>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</si>
  <si>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</si>
  <si>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</si>
  <si>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</si>
  <si>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</si>
  <si>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</si>
  <si>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</si>
  <si>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</si>
  <si>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</si>
  <si>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</si>
  <si>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</si>
  <si>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</si>
  <si>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</si>
  <si>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</si>
  <si>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</si>
  <si>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</si>
  <si>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</si>
  <si>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</si>
  <si>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</si>
  <si>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</si>
  <si>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</si>
  <si>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</si>
  <si>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</si>
  <si>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</si>
  <si>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</si>
  <si>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</si>
  <si>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</si>
  <si>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</si>
  <si>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</si>
  <si>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</si>
  <si>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</si>
  <si>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</si>
  <si>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</si>
  <si>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</si>
  <si>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</si>
  <si>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</si>
  <si>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</si>
  <si>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</si>
  <si>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</si>
  <si>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</si>
  <si>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</si>
  <si>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</si>
  <si>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</si>
  <si>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</si>
  <si>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</si>
  <si>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</si>
  <si>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</si>
  <si>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</si>
  <si>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</si>
  <si>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</si>
  <si>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</si>
  <si>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</si>
  <si>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</si>
  <si>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</si>
  <si>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</si>
  <si>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</si>
  <si>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</si>
  <si>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</si>
  <si>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</si>
  <si>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</si>
  <si>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</si>
  <si>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</si>
  <si>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</si>
  <si>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</si>
  <si>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</si>
  <si>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</si>
  <si>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</si>
  <si>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</si>
  <si>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</si>
  <si>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</si>
  <si>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</si>
  <si>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</si>
  <si>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</si>
  <si>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</si>
  <si>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</si>
  <si>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</si>
  <si>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</si>
  <si>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</si>
  <si>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</si>
  <si>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</si>
  <si>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</si>
  <si>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</si>
  <si>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</si>
  <si>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</si>
  <si>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</si>
  <si>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</si>
  <si>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</si>
  <si>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</si>
  <si>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</si>
  <si>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</si>
  <si>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</si>
  <si>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</si>
  <si>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</si>
  <si>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</si>
  <si>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</si>
  <si>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</si>
  <si>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</si>
  <si>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</si>
  <si>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</si>
  <si>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</si>
  <si>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</si>
  <si>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</si>
  <si>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</si>
  <si>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</si>
  <si>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</si>
  <si>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</si>
  <si>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</si>
  <si>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</si>
  <si>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</si>
  <si>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</si>
  <si>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</si>
  <si>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</si>
  <si>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</si>
  <si>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</si>
  <si>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</si>
  <si>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</si>
  <si>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</si>
  <si>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</si>
  <si>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</si>
  <si>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</si>
  <si>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</si>
  <si>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</si>
  <si>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</si>
  <si>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</si>
  <si>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</si>
  <si>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</si>
  <si>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</si>
  <si>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</si>
  <si>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</si>
  <si>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</si>
  <si>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</si>
  <si>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</si>
  <si>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</si>
  <si>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</si>
  <si>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</si>
  <si>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</si>
  <si>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</si>
  <si>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</si>
  <si>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</si>
  <si>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</si>
  <si>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</si>
  <si>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</si>
  <si>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</si>
  <si>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</si>
  <si>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</si>
  <si>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</si>
  <si>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</si>
  <si>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</si>
  <si>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</si>
  <si>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</si>
  <si>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</si>
  <si>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</si>
  <si>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</si>
  <si>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</si>
  <si>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</si>
  <si>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</si>
  <si>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</si>
  <si>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</si>
  <si>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</si>
  <si>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</si>
  <si>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</si>
  <si>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</si>
  <si>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</si>
  <si>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</si>
  <si>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</si>
  <si>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</si>
  <si>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</si>
  <si>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</si>
  <si>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</si>
  <si>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</si>
  <si>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</si>
  <si>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</si>
  <si>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</si>
  <si>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</si>
  <si>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</si>
  <si>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</si>
  <si>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</si>
  <si>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</si>
  <si>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</si>
  <si>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</si>
  <si>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</si>
  <si>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</si>
  <si>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</si>
  <si>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</si>
  <si>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</si>
  <si>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</si>
  <si>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</si>
  <si>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</si>
  <si>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</si>
  <si>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</si>
  <si>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</si>
  <si>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</si>
  <si>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</si>
  <si>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</si>
  <si>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</si>
  <si>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</si>
  <si>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</si>
  <si>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</si>
  <si>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</si>
  <si>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</si>
  <si>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</si>
  <si>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</si>
  <si>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</si>
  <si>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</si>
  <si>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</si>
  <si>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</si>
  <si>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</si>
  <si>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</si>
  <si>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</si>
  <si>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</si>
  <si>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</si>
  <si>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</si>
  <si>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</si>
  <si>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</si>
  <si>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</si>
  <si>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</si>
  <si>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</si>
  <si>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</si>
  <si>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</si>
  <si>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</si>
  <si>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</si>
  <si>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</si>
  <si>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</si>
  <si>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</si>
  <si>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</si>
  <si>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</si>
  <si>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</si>
  <si>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</si>
  <si>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</si>
  <si>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</si>
  <si>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</si>
  <si>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</si>
  <si>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</si>
  <si>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</si>
  <si>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</si>
  <si>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</si>
  <si>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</si>
  <si>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</si>
  <si>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</si>
  <si>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</si>
  <si>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</si>
  <si>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</si>
  <si>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</si>
  <si>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</si>
  <si>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</si>
  <si>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</si>
  <si>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</si>
  <si>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</si>
  <si>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</si>
  <si>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</si>
  <si>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</si>
  <si>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</si>
  <si>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</si>
  <si>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</si>
  <si>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</si>
  <si>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</si>
  <si>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</si>
  <si>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</si>
  <si>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</si>
  <si>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</si>
  <si>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</si>
  <si>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</si>
  <si>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</si>
  <si>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</si>
  <si>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</si>
  <si>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</si>
  <si>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</si>
  <si>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</si>
  <si>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</si>
  <si>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</si>
  <si>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</si>
  <si>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</si>
  <si>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</si>
  <si>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</si>
  <si>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</si>
  <si>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</si>
  <si>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</si>
  <si>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</si>
  <si>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</si>
  <si>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</si>
  <si>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</si>
  <si>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</si>
  <si>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</si>
  <si>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</si>
  <si>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</si>
  <si>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</si>
  <si>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</si>
  <si>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</si>
  <si>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</si>
  <si>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</si>
  <si>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</si>
  <si>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</si>
  <si>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</si>
  <si>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</si>
  <si>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</si>
  <si>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</si>
  <si>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</si>
  <si>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</si>
  <si>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</si>
  <si>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</si>
  <si>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</si>
  <si>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</si>
  <si>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</si>
  <si>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</si>
  <si>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</si>
  <si>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</si>
  <si>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</si>
  <si>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</si>
  <si>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</si>
  <si>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</si>
  <si>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</si>
  <si>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</si>
  <si>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</si>
  <si>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</si>
  <si>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</si>
  <si>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</si>
  <si>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</si>
  <si>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</si>
  <si>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</si>
  <si>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</si>
  <si>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</si>
  <si>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</si>
  <si>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</si>
  <si>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</si>
  <si>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</si>
  <si>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</si>
  <si>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</si>
  <si>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</si>
  <si>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</si>
  <si>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</si>
  <si>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</si>
  <si>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</si>
  <si>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</si>
  <si>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</si>
  <si>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</si>
  <si>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</si>
  <si>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</si>
  <si>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</si>
  <si>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</si>
  <si>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</si>
  <si>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</si>
  <si>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</si>
  <si>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</si>
  <si>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</si>
  <si>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</si>
  <si>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</si>
  <si>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</si>
  <si>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</si>
  <si>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</si>
  <si>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</si>
  <si>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</si>
  <si>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</si>
  <si>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</si>
  <si>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</si>
  <si>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</si>
  <si>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</si>
  <si>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</si>
  <si>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</si>
  <si>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</si>
  <si>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</si>
  <si>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</si>
  <si>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</si>
  <si>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</si>
  <si>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</si>
  <si>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</si>
  <si>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</si>
  <si>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</si>
  <si>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</si>
  <si>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</si>
  <si>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</si>
  <si>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</si>
  <si>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</si>
  <si>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</si>
  <si>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</si>
  <si>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</si>
  <si>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</si>
  <si>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</si>
  <si>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</si>
  <si>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</si>
  <si>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</si>
  <si>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</si>
  <si>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</si>
  <si>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</si>
  <si>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</si>
  <si>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</si>
  <si>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</si>
  <si>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</si>
  <si>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</si>
  <si>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</si>
  <si>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</si>
  <si>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</si>
  <si>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</si>
  <si>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</si>
  <si>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</si>
  <si>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</si>
  <si>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</si>
  <si>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</si>
  <si>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</si>
  <si>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</si>
  <si>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</si>
  <si>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</si>
  <si>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</si>
  <si>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</si>
  <si>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</si>
  <si>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</si>
  <si>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</si>
  <si>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</si>
  <si>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</si>
  <si>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</si>
  <si>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</si>
  <si>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</si>
  <si>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</si>
  <si>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</si>
  <si>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</si>
  <si>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</si>
  <si>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</si>
  <si>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</si>
  <si>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</si>
  <si>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</si>
  <si>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</si>
  <si>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</si>
  <si>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</si>
  <si>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</si>
  <si>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</si>
  <si>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</si>
  <si>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</si>
  <si>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</si>
  <si>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</si>
  <si>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</si>
  <si>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</si>
  <si>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</si>
  <si>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</si>
  <si>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</si>
  <si>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</si>
  <si>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</si>
  <si>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</si>
  <si>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</si>
  <si>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</si>
  <si>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</si>
  <si>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</si>
  <si>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</si>
  <si>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</si>
  <si>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</si>
  <si>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</si>
  <si>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</si>
  <si>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</si>
  <si>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</si>
  <si>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</si>
  <si>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</si>
  <si>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</si>
  <si>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</si>
  <si>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</si>
  <si>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</si>
  <si>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</si>
  <si>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</si>
  <si>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</si>
  <si>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</si>
  <si>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</si>
  <si>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</si>
  <si>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</si>
  <si>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</si>
  <si>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</si>
  <si>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</si>
  <si>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</si>
  <si>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</si>
  <si>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</si>
  <si>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</si>
  <si>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</si>
  <si>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</si>
  <si>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</si>
  <si>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</si>
  <si>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</si>
  <si>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</si>
  <si>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</si>
  <si>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</si>
  <si>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</si>
  <si>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</si>
  <si>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</si>
  <si>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</si>
  <si>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</si>
  <si>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</si>
  <si>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</si>
  <si>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</si>
  <si>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</si>
  <si>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</si>
  <si>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</si>
  <si>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</si>
  <si>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</si>
  <si>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</si>
  <si>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</si>
  <si>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</si>
  <si>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</si>
  <si>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</si>
  <si>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</si>
  <si>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</si>
  <si>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</si>
  <si>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</si>
  <si>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</si>
  <si>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</si>
  <si>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</si>
  <si>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</si>
  <si>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</si>
  <si>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</si>
  <si>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</si>
  <si>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</si>
  <si>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</si>
  <si>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</si>
  <si>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</si>
  <si>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</si>
  <si>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</si>
  <si>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</si>
  <si>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</si>
  <si>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</si>
  <si>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</si>
  <si>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</si>
  <si>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</si>
  <si>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</si>
  <si>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</si>
  <si>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</si>
  <si>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</si>
  <si>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</si>
  <si>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</si>
  <si>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</si>
  <si>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</si>
  <si>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</si>
  <si>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</si>
  <si>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</si>
  <si>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</si>
  <si>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</si>
  <si>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</si>
  <si>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</si>
  <si>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</si>
  <si>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</si>
  <si>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</si>
  <si>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</si>
  <si>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</si>
  <si>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</si>
  <si>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</si>
  <si>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</si>
  <si>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</si>
  <si>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</si>
  <si>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</si>
  <si>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</si>
  <si>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</si>
  <si>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</si>
  <si>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</si>
  <si>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</si>
  <si>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</si>
  <si>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</si>
  <si>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</si>
  <si>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</si>
  <si>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</si>
  <si>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</si>
  <si>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</si>
  <si>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</si>
  <si>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</si>
  <si>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</si>
  <si>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</si>
  <si>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</si>
  <si>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</si>
  <si>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</si>
  <si>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</si>
  <si>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</si>
  <si>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</si>
  <si>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</si>
  <si>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</si>
  <si>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</si>
  <si>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</si>
  <si>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</si>
  <si>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</si>
  <si>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</si>
  <si>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</si>
  <si>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</si>
  <si>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</si>
  <si>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</si>
  <si>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</si>
  <si>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</si>
  <si>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</si>
  <si>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</si>
  <si>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</si>
  <si>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</si>
  <si>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</si>
  <si>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</si>
  <si>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</si>
  <si>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</si>
  <si>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</si>
  <si>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</si>
  <si>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</si>
  <si>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</si>
  <si>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</si>
  <si>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</si>
  <si>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</si>
  <si>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</si>
  <si>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</si>
  <si>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</si>
  <si>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</si>
  <si>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</si>
  <si>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</si>
  <si>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</si>
  <si>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</si>
  <si>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</si>
  <si>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</si>
  <si>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</si>
  <si>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</si>
  <si>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</si>
  <si>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</si>
  <si>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</si>
  <si>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</si>
  <si>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</si>
  <si>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</si>
  <si>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</si>
  <si>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</si>
  <si>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</si>
  <si>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</si>
  <si>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</si>
  <si>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</si>
  <si>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</si>
  <si>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</si>
  <si>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</si>
  <si>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</si>
  <si>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</si>
  <si>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</si>
  <si>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</si>
  <si>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</si>
  <si>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</si>
  <si>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</si>
  <si>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</si>
  <si>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</si>
  <si>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</si>
  <si>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</si>
  <si>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</si>
  <si>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</si>
  <si>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</si>
  <si>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</si>
  <si>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</si>
  <si>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</si>
  <si>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</si>
  <si>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</si>
  <si>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</si>
  <si>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</si>
  <si>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</si>
  <si>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</si>
  <si>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</si>
  <si>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</si>
  <si>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</si>
  <si>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</si>
  <si>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</si>
  <si>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</si>
  <si>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</si>
  <si>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</si>
  <si>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</si>
  <si>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</si>
  <si>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</si>
  <si>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</si>
  <si>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</si>
  <si>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</si>
  <si>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</si>
  <si>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</si>
  <si>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</si>
  <si>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</si>
  <si>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</si>
  <si>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</si>
  <si>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</si>
  <si>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</si>
  <si>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</si>
  <si>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</si>
  <si>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</si>
  <si>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</si>
  <si>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</si>
  <si>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</si>
  <si>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</si>
  <si>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</si>
  <si>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</si>
  <si>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</si>
  <si>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</si>
  <si>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</si>
  <si>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</si>
  <si>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</si>
  <si>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</si>
  <si>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</si>
  <si>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</si>
  <si>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</si>
  <si>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</si>
  <si>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</si>
  <si>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</si>
  <si>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</si>
  <si>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</si>
  <si>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</si>
  <si>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</si>
  <si>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</si>
  <si>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</si>
  <si>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</si>
  <si>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</si>
  <si>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</si>
  <si>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</si>
  <si>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</si>
  <si>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</si>
  <si>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</si>
  <si>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</si>
  <si>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</si>
  <si>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</si>
  <si>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</si>
  <si>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</si>
  <si>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</si>
  <si>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</si>
  <si>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</si>
  <si>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</si>
  <si>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</si>
  <si>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</si>
  <si>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</si>
  <si>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</si>
  <si>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</si>
  <si>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</si>
  <si>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</si>
  <si>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</si>
  <si>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</si>
  <si>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</si>
  <si>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</si>
  <si>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</si>
  <si>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</si>
  <si>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</si>
  <si>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</si>
  <si>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</si>
  <si>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</si>
  <si>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</si>
  <si>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</si>
  <si>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</si>
  <si>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</si>
  <si>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</si>
  <si>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</si>
  <si>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</si>
  <si>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</si>
  <si>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</si>
  <si>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</si>
  <si>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</si>
  <si>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</si>
  <si>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</si>
  <si>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</si>
  <si>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</si>
  <si>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</si>
  <si>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</si>
  <si>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</si>
  <si>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</si>
  <si>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</si>
  <si>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</si>
  <si>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</si>
  <si>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</si>
  <si>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</si>
  <si>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</si>
  <si>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</si>
  <si>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</si>
  <si>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</si>
  <si>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</si>
  <si>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</si>
  <si>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</si>
  <si>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</si>
  <si>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</si>
  <si>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</si>
  <si>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</si>
  <si>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</si>
  <si>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</si>
  <si>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</si>
  <si>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</si>
  <si>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</si>
  <si>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</si>
  <si>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</si>
  <si>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</si>
  <si>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</si>
  <si>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</si>
  <si>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</si>
  <si>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</si>
  <si>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</si>
  <si>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</si>
  <si>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</si>
  <si>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</si>
  <si>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</si>
  <si>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</si>
  <si>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</si>
  <si>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</si>
  <si>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</si>
  <si>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</si>
  <si>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</si>
  <si>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</si>
  <si>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</si>
  <si>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</si>
  <si>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</si>
  <si>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</si>
  <si>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</si>
  <si>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</si>
  <si>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</si>
  <si>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</si>
  <si>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</si>
  <si>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</si>
  <si>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</si>
  <si>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</si>
  <si>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</si>
  <si>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</si>
  <si>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</si>
  <si>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</si>
  <si>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</si>
  <si>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</si>
  <si>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</si>
  <si>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</si>
  <si>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</si>
  <si>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</si>
  <si>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</si>
  <si>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</si>
  <si>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</si>
  <si>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</si>
  <si>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</si>
  <si>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</si>
  <si>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</si>
  <si>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</si>
  <si>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</si>
  <si>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</si>
  <si>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</si>
  <si>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</si>
  <si>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</si>
  <si>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</si>
  <si>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</si>
  <si>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</si>
  <si>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</si>
  <si>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</si>
  <si>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</si>
  <si>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</si>
  <si>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</si>
  <si>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</si>
  <si>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</si>
  <si>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</si>
  <si>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</si>
  <si>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</si>
  <si>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</si>
  <si>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</si>
  <si>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</si>
  <si>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</si>
  <si>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</si>
  <si>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</si>
  <si>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</si>
  <si>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</si>
  <si>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</si>
  <si>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</si>
  <si>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</si>
  <si>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</si>
  <si>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</si>
  <si>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</si>
  <si>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</si>
  <si>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</si>
  <si>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</si>
  <si>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</si>
  <si>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</si>
  <si>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</si>
  <si>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</si>
  <si>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</si>
  <si>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</si>
  <si>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</si>
  <si>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</si>
  <si>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</si>
  <si>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</si>
  <si>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</si>
  <si>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</si>
  <si>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</si>
  <si>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</si>
  <si>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</si>
  <si>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</si>
  <si>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</si>
  <si>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</si>
  <si>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</si>
  <si>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</si>
  <si>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</si>
  <si>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</si>
  <si>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</si>
  <si>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</si>
  <si>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</si>
  <si>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</si>
  <si>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</si>
  <si>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</si>
  <si>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</si>
  <si>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</si>
  <si>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</si>
  <si>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</si>
  <si>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</si>
  <si>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</si>
  <si>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</si>
  <si>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</si>
  <si>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</si>
  <si>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</si>
  <si>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</si>
  <si>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</si>
  <si>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</si>
  <si>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</si>
  <si>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</si>
  <si>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</si>
  <si>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</si>
  <si>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</si>
  <si>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</si>
  <si>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</si>
  <si>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</si>
  <si>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</si>
  <si>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</si>
  <si>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</si>
  <si>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</si>
  <si>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</si>
  <si>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</si>
  <si>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</si>
  <si>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</si>
  <si>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</si>
  <si>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</si>
  <si>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</si>
  <si>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</si>
  <si>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</si>
  <si>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</si>
  <si>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</si>
  <si>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</si>
  <si>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</si>
  <si>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</si>
  <si>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</si>
  <si>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</si>
  <si>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</si>
  <si>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</si>
  <si>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</si>
  <si>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</si>
  <si>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</si>
  <si>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</si>
  <si>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</si>
  <si>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</si>
  <si>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</si>
  <si>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</si>
  <si>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</si>
  <si>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</si>
  <si>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</si>
  <si>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</si>
  <si>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</si>
  <si>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</si>
  <si>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</si>
  <si>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</si>
  <si>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</si>
  <si>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</si>
  <si>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</si>
  <si>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</si>
  <si>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</si>
  <si>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</si>
  <si>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</si>
  <si>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</si>
  <si>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</si>
  <si>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</si>
  <si>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</si>
  <si>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</si>
  <si>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</si>
  <si>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</si>
  <si>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</si>
  <si>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</si>
  <si>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</si>
  <si>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</si>
  <si>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</si>
  <si>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</si>
  <si>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</si>
  <si>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</si>
  <si>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</si>
  <si>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</si>
  <si>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</si>
  <si>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</si>
  <si>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</si>
  <si>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</si>
  <si>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</si>
  <si>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</si>
  <si>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</si>
  <si>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</si>
  <si>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</si>
  <si>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</si>
  <si>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</si>
  <si>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</si>
  <si>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</si>
  <si>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</si>
  <si>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</si>
  <si>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</si>
  <si>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</si>
  <si>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</si>
  <si>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</si>
  <si>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</si>
  <si>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</si>
  <si>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</si>
  <si>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</si>
  <si>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</si>
  <si>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</si>
  <si>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</si>
  <si>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</si>
  <si>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</si>
  <si>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</si>
  <si>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</si>
  <si>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</si>
  <si>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</si>
  <si>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</si>
  <si>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</si>
  <si>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</si>
  <si>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</si>
  <si>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</si>
  <si>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</si>
  <si>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</si>
  <si>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</si>
  <si>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</si>
  <si>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</si>
  <si>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</si>
  <si>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</si>
  <si>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</si>
  <si>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</si>
  <si>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</si>
  <si>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</si>
  <si>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</si>
  <si>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</si>
  <si>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</si>
  <si>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</si>
  <si>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</si>
  <si>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</si>
  <si>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</si>
  <si>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</si>
  <si>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</si>
  <si>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</si>
  <si>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</si>
  <si>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</si>
  <si>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</si>
  <si>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</si>
  <si>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</si>
  <si>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</si>
  <si>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</si>
  <si>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</si>
  <si>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</si>
  <si>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</si>
  <si>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</si>
  <si>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</si>
  <si>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</si>
  <si>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</si>
  <si>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</si>
  <si>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</si>
  <si>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</si>
  <si>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</si>
  <si>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</si>
  <si>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</si>
  <si>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</si>
  <si>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</si>
  <si>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</si>
  <si>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</si>
  <si>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</si>
  <si>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</si>
  <si>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</si>
  <si>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</si>
  <si>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</si>
  <si>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</si>
  <si>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</si>
  <si>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</si>
  <si>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</si>
  <si>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</si>
  <si>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</si>
  <si>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</si>
  <si>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</si>
  <si>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</si>
  <si>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</si>
  <si>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</si>
  <si>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</si>
  <si>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</si>
  <si>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</si>
  <si>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</si>
  <si>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</si>
  <si>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</si>
  <si>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</si>
  <si>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</si>
  <si>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</si>
  <si>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</si>
  <si>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</si>
  <si>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</si>
  <si>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</si>
  <si>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</si>
  <si>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</si>
  <si>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</si>
  <si>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</si>
  <si>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</si>
  <si>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</si>
  <si>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</si>
  <si>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</si>
  <si>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</si>
  <si>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</si>
  <si>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</si>
  <si>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</si>
  <si>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</si>
  <si>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</si>
  <si>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</si>
  <si>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</si>
  <si>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</si>
  <si>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</si>
  <si>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</si>
  <si>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</si>
  <si>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</si>
  <si>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</si>
  <si>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</si>
  <si>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</si>
  <si>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</si>
  <si>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</si>
  <si>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</si>
  <si>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</si>
  <si>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</si>
  <si>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</si>
  <si>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</si>
  <si>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</si>
  <si>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</si>
  <si>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</si>
  <si>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</si>
  <si>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</si>
  <si>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</si>
  <si>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</si>
  <si>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</si>
  <si>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</si>
  <si>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</si>
  <si>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</si>
  <si>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</si>
  <si>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</si>
  <si>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</si>
  <si>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</si>
  <si>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</si>
  <si>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</si>
  <si>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</si>
  <si>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</si>
  <si>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</si>
  <si>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</si>
  <si>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</si>
  <si>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</si>
  <si>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</si>
  <si>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</si>
  <si>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</si>
  <si>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</si>
  <si>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</si>
  <si>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</si>
  <si>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</si>
  <si>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</si>
  <si>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</si>
  <si>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</si>
  <si>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</si>
  <si>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</si>
  <si>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</si>
  <si>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</si>
  <si>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</si>
  <si>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</si>
  <si>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</si>
  <si>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</si>
  <si>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</si>
  <si>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</si>
  <si>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</si>
  <si>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</si>
  <si>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</si>
  <si>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</si>
  <si>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</si>
  <si>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</si>
  <si>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</si>
  <si>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</si>
  <si>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</si>
  <si>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</si>
  <si>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</si>
  <si>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</si>
  <si>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</si>
  <si>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</si>
  <si>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</si>
  <si>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</si>
  <si>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</si>
  <si>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</si>
  <si>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</si>
  <si>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</si>
  <si>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</si>
  <si>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</si>
  <si>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</si>
  <si>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</si>
  <si>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</si>
  <si>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</si>
  <si>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</si>
  <si>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</si>
  <si>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</si>
  <si>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</si>
  <si>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</si>
  <si>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</si>
  <si>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</si>
  <si>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</si>
  <si>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</si>
  <si>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</si>
  <si>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</si>
  <si>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</si>
  <si>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</si>
  <si>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</si>
  <si>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</si>
  <si>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</si>
  <si>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</si>
  <si>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</si>
  <si>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</si>
  <si>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</si>
  <si>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</si>
  <si>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</si>
  <si>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</si>
  <si>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</si>
  <si>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</si>
  <si>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</si>
  <si>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</si>
  <si>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</si>
  <si>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</si>
  <si>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</si>
  <si>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</si>
  <si>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</si>
  <si>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</si>
  <si>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</si>
  <si>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</si>
  <si>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</si>
  <si>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</si>
  <si>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</si>
  <si>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</si>
  <si>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</si>
  <si>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</si>
  <si>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</si>
  <si>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</si>
  <si>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</si>
  <si>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</si>
  <si>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</si>
  <si>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</si>
  <si>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</si>
  <si>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</si>
  <si>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</si>
  <si>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</si>
  <si>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</si>
  <si>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</si>
  <si>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</si>
  <si>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</si>
  <si>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</si>
  <si>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</si>
  <si>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</si>
  <si>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</si>
  <si>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</si>
  <si>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</si>
  <si>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</si>
  <si>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</si>
  <si>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</si>
  <si>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</si>
  <si>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</si>
  <si>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</si>
  <si>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</si>
  <si>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</si>
  <si>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</si>
  <si>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</si>
  <si>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</si>
  <si>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</si>
  <si>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</si>
  <si>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</si>
  <si>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</si>
  <si>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</si>
  <si>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</si>
  <si>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</si>
  <si>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</si>
  <si>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</si>
  <si>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</si>
  <si>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</si>
  <si>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</si>
  <si>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</si>
  <si>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</si>
  <si>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</si>
  <si>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</si>
  <si>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</si>
  <si>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</si>
  <si>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</si>
  <si>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</si>
  <si>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</si>
  <si>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</si>
  <si>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</si>
  <si>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</si>
  <si>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</si>
  <si>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</si>
  <si>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</si>
  <si>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</si>
  <si>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</si>
  <si>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</si>
  <si>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</si>
  <si>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</si>
  <si>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</si>
  <si>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</si>
  <si>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</si>
  <si>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</si>
  <si>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</si>
  <si>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</si>
  <si>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</si>
  <si>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</si>
  <si>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</si>
  <si>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</si>
  <si>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</si>
  <si>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</si>
  <si>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</si>
  <si>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</si>
  <si>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</si>
  <si>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</si>
  <si>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</si>
  <si>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</si>
  <si>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</si>
  <si>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</si>
  <si>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</si>
  <si>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</si>
  <si>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</si>
  <si>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</si>
  <si>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</si>
  <si>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</si>
  <si>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</si>
  <si>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</si>
  <si>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</si>
  <si>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</si>
  <si>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</si>
  <si>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</si>
  <si>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</si>
  <si>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</si>
  <si>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</si>
  <si>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</si>
  <si>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</si>
  <si>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</si>
  <si>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</si>
  <si>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</si>
  <si>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</si>
  <si>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</si>
  <si>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</si>
  <si>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</si>
  <si>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</si>
  <si>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</si>
  <si>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</si>
  <si>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</si>
  <si>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</si>
  <si>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</si>
  <si>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</si>
  <si>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</si>
  <si>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</si>
  <si>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</si>
  <si>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</si>
  <si>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</si>
  <si>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</si>
  <si>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</si>
  <si>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</si>
  <si>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</si>
  <si>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</si>
  <si>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</si>
  <si>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</si>
  <si>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</si>
  <si>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</si>
  <si>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</si>
  <si>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</si>
  <si>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</si>
  <si>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</si>
  <si>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</si>
  <si>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</si>
  <si>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</si>
  <si>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</si>
  <si>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</si>
  <si>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</si>
  <si>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</si>
  <si>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</si>
  <si>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</si>
  <si>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</si>
  <si>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</si>
  <si>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</si>
  <si>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</si>
  <si>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</si>
  <si>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</si>
  <si>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</si>
  <si>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</si>
  <si>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</si>
  <si>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</si>
  <si>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</si>
  <si>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</si>
  <si>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</si>
  <si>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</si>
  <si>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</si>
  <si>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</si>
  <si>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</si>
  <si>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</si>
  <si>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</si>
  <si>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</si>
  <si>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</si>
  <si>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</si>
  <si>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</si>
  <si>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</si>
  <si>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</si>
  <si>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</si>
  <si>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</si>
  <si>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</si>
  <si>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</si>
  <si>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</si>
  <si>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</si>
  <si>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</si>
  <si>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</si>
  <si>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</si>
  <si>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</si>
  <si>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</si>
  <si>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</si>
  <si>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</si>
  <si>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</si>
  <si>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</si>
  <si>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</si>
  <si>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</si>
  <si>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</si>
  <si>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</si>
  <si>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</si>
  <si>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</si>
  <si>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</si>
  <si>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</si>
  <si>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</si>
  <si>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</si>
  <si>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</si>
  <si>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</si>
  <si>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</si>
  <si>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</si>
  <si>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</si>
  <si>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</si>
  <si>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</si>
  <si>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</si>
  <si>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</si>
  <si>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</si>
  <si>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</si>
  <si>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</si>
  <si>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</si>
  <si>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</si>
  <si>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</si>
  <si>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</si>
  <si>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</si>
  <si>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</si>
  <si>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</si>
  <si>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</si>
  <si>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</si>
  <si>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</si>
  <si>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</si>
  <si>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</si>
  <si>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</si>
  <si>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</si>
  <si>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</si>
  <si>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</si>
  <si>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</si>
  <si>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</si>
  <si>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</si>
  <si>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</si>
  <si>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</si>
  <si>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</si>
  <si>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</si>
  <si>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</si>
  <si>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</si>
  <si>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</si>
  <si>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</si>
  <si>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</si>
  <si>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</si>
  <si>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</si>
  <si>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</si>
  <si>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</si>
  <si>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</si>
  <si>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</si>
  <si>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</si>
  <si>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</si>
  <si>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</si>
  <si>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</si>
  <si>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</si>
  <si>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</si>
  <si>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</si>
  <si>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</si>
  <si>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</si>
  <si>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</si>
  <si>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</si>
  <si>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</si>
  <si>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</si>
  <si>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</si>
  <si>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</si>
  <si>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</si>
  <si>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</si>
  <si>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</si>
  <si>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</si>
  <si>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</si>
  <si>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</si>
  <si>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</si>
  <si>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</si>
  <si>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</si>
  <si>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</si>
  <si>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</si>
  <si>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</si>
  <si>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</si>
  <si>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</si>
  <si>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</si>
  <si>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</si>
  <si>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</si>
  <si>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</si>
  <si>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</si>
  <si>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</si>
  <si>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</si>
  <si>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</si>
  <si>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</si>
  <si>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</si>
  <si>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</si>
  <si>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</si>
  <si>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</si>
  <si>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</si>
  <si>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</si>
  <si>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</si>
  <si>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</si>
  <si>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</si>
  <si>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</si>
  <si>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</si>
  <si>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</si>
  <si>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</si>
  <si>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</si>
  <si>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</si>
  <si>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</si>
  <si>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</si>
  <si>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</si>
  <si>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</si>
  <si>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</si>
  <si>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</si>
  <si>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</si>
  <si>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</si>
  <si>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</si>
  <si>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</si>
  <si>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</si>
  <si>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</si>
  <si>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</si>
  <si>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</si>
  <si>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</si>
  <si>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</si>
  <si>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</si>
  <si>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</si>
  <si>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</si>
  <si>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</si>
  <si>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</si>
  <si>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</si>
  <si>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</si>
  <si>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</si>
  <si>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</si>
  <si>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</si>
  <si>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</si>
  <si>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</si>
  <si>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</si>
  <si>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</si>
  <si>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</si>
  <si>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</si>
  <si>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</si>
  <si>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</si>
  <si>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</si>
  <si>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</si>
  <si>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</si>
  <si>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</si>
  <si>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</si>
  <si>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</si>
  <si>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</si>
  <si>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</si>
  <si>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</si>
  <si>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</si>
  <si>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</si>
  <si>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</si>
  <si>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</si>
  <si>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</si>
  <si>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</si>
  <si>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</si>
  <si>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</si>
  <si>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</si>
  <si>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</si>
  <si>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</si>
  <si>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</si>
  <si>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</si>
  <si>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</si>
  <si>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</si>
  <si>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</si>
  <si>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</si>
  <si>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</si>
  <si>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</si>
  <si>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</si>
  <si>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</si>
  <si>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</si>
  <si>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</si>
  <si>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</si>
  <si>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</si>
  <si>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</si>
  <si>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</si>
  <si>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</si>
  <si>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</si>
  <si>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</si>
  <si>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</si>
  <si>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</si>
  <si>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</si>
  <si>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</si>
  <si>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</si>
  <si>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</si>
  <si>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</si>
  <si>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</si>
  <si>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</si>
  <si>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</si>
  <si>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</si>
  <si>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</si>
  <si>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</si>
  <si>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</si>
  <si>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</si>
  <si>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</si>
  <si>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</si>
  <si>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</si>
  <si>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</si>
  <si>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</si>
  <si>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</si>
  <si>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</si>
  <si>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</si>
  <si>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</si>
  <si>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</si>
  <si>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</si>
  <si>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</si>
  <si>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</si>
  <si>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</si>
  <si>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</si>
  <si>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</si>
  <si>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</si>
  <si>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</si>
  <si>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</si>
  <si>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</si>
  <si>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</si>
  <si>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</si>
  <si>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</si>
  <si>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</si>
  <si>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</si>
  <si>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</si>
  <si>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</si>
  <si>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</si>
  <si>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</si>
  <si>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</si>
  <si>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</si>
  <si>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</si>
  <si>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</si>
  <si>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</si>
  <si>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</si>
  <si>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</si>
  <si>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</si>
  <si>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</si>
  <si>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</si>
  <si>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</si>
  <si>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</si>
  <si>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</si>
  <si>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</si>
  <si>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</si>
  <si>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</si>
  <si>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</si>
  <si>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</si>
  <si>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</si>
  <si>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</si>
  <si>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</si>
  <si>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</si>
  <si>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</si>
  <si>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</si>
  <si>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</si>
  <si>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</si>
  <si>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</si>
  <si>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</si>
  <si>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</si>
  <si>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</si>
  <si>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</si>
  <si>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</si>
  <si>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</si>
  <si>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</si>
  <si>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</si>
  <si>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</si>
  <si>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</si>
  <si>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</si>
  <si>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</si>
  <si>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</si>
  <si>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</si>
  <si>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</si>
  <si>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</si>
  <si>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</si>
  <si>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</si>
  <si>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</si>
  <si>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</si>
  <si>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</si>
  <si>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</si>
  <si>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</si>
  <si>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</si>
  <si>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</si>
  <si>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</si>
  <si>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</si>
  <si>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</si>
  <si>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</si>
  <si>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</si>
  <si>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</si>
  <si>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</si>
  <si>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</si>
  <si>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</si>
  <si>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</si>
  <si>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</si>
  <si>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</si>
  <si>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</si>
  <si>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</si>
  <si>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</si>
  <si>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</si>
  <si>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</si>
  <si>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</si>
  <si>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</si>
  <si>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</si>
  <si>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</si>
  <si>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</si>
  <si>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</si>
  <si>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</si>
  <si>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</si>
  <si>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</si>
  <si>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</si>
  <si>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</si>
  <si>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</si>
  <si>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</si>
  <si>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</si>
  <si>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</si>
  <si>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</si>
  <si>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</si>
  <si>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</si>
  <si>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</si>
  <si>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</si>
  <si>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</si>
  <si>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</si>
  <si>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</si>
  <si>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</si>
  <si>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</si>
  <si>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</si>
  <si>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</si>
  <si>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</si>
  <si>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</si>
  <si>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</si>
  <si>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</si>
  <si>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</si>
  <si>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</si>
  <si>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</si>
  <si>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</si>
  <si>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</si>
  <si>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</si>
  <si>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</si>
  <si>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</si>
  <si>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</si>
  <si>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</si>
  <si>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</si>
  <si>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</si>
  <si>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</si>
  <si>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</si>
  <si>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</si>
  <si>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</si>
  <si>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</si>
  <si>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</si>
  <si>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</si>
  <si>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</si>
  <si>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</si>
  <si>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</si>
  <si>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</si>
  <si>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</si>
  <si>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</si>
  <si>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</si>
  <si>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</si>
  <si>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</si>
  <si>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</si>
  <si>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</si>
  <si>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</si>
  <si>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</si>
  <si>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</si>
  <si>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</si>
  <si>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</si>
  <si>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</si>
  <si>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</si>
  <si>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</si>
  <si>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</si>
  <si>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</si>
  <si>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</si>
  <si>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</si>
  <si>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</si>
  <si>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</si>
  <si>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</si>
  <si>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</si>
  <si>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</si>
  <si>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</si>
  <si>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</si>
  <si>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</si>
  <si>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</si>
  <si>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</si>
  <si>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</si>
  <si>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</si>
  <si>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</si>
  <si>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</si>
  <si>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</si>
  <si>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</si>
  <si>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</si>
  <si>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</si>
  <si>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</si>
  <si>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</si>
  <si>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</si>
  <si>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</si>
  <si>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</si>
  <si>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</si>
  <si>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</si>
  <si>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</si>
  <si>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</si>
  <si>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</si>
  <si>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</si>
  <si>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</si>
  <si>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</si>
  <si>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</si>
  <si>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</si>
  <si>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</si>
  <si>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</si>
  <si>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</si>
  <si>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</si>
  <si>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</si>
  <si>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</si>
  <si>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</si>
  <si>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</si>
  <si>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</si>
  <si>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</si>
  <si>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</si>
  <si>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</si>
  <si>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</si>
  <si>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</si>
  <si>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</si>
  <si>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</si>
  <si>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</si>
  <si>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</si>
  <si>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</si>
  <si>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</si>
  <si>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</si>
  <si>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</si>
  <si>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</si>
  <si>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</si>
  <si>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</si>
  <si>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</si>
  <si>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</si>
  <si>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</si>
  <si>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</si>
  <si>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</si>
  <si>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</si>
  <si>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</si>
  <si>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</si>
  <si>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</si>
  <si>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</si>
  <si>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</si>
  <si>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</si>
  <si>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</si>
  <si>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</si>
  <si>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</si>
  <si>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</si>
  <si>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</si>
  <si>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</si>
  <si>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</si>
  <si>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</si>
  <si>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</si>
  <si>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</si>
  <si>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</si>
  <si>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</si>
  <si>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</si>
  <si>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</si>
  <si>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</si>
  <si>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</si>
  <si>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</si>
  <si>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</si>
  <si>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</si>
  <si>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</si>
  <si>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</si>
  <si>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</si>
  <si>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</si>
  <si>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</si>
  <si>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</si>
  <si>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</si>
  <si>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</si>
  <si>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</si>
  <si>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</si>
  <si>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</si>
  <si>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</si>
  <si>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</si>
  <si>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</si>
  <si>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</si>
  <si>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</si>
  <si>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</si>
  <si>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</si>
  <si>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</si>
  <si>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</si>
  <si>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</si>
  <si>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</si>
  <si>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</si>
  <si>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</si>
  <si>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</si>
  <si>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</si>
  <si>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</si>
  <si>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</si>
  <si>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</si>
  <si>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</si>
  <si>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</si>
  <si>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</si>
  <si>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</si>
  <si>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</si>
  <si>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</si>
  <si>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</si>
  <si>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</si>
  <si>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</si>
  <si>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</si>
  <si>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</si>
  <si>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</si>
  <si>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</si>
  <si>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</si>
  <si>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</si>
  <si>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</si>
  <si>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</si>
  <si>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</si>
  <si>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</si>
  <si>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</si>
  <si>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</si>
  <si>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</si>
  <si>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</si>
  <si>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</si>
  <si>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</si>
  <si>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</si>
  <si>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</si>
  <si>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</si>
  <si>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</si>
  <si>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</si>
  <si>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</si>
  <si>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</si>
  <si>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</si>
  <si>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</si>
  <si>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</si>
  <si>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</si>
  <si>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</si>
  <si>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</si>
  <si>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</si>
  <si>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</si>
  <si>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</si>
  <si>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</si>
  <si>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</si>
  <si>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</si>
  <si>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</si>
  <si>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</si>
  <si>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</si>
  <si>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</si>
  <si>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</si>
  <si>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</si>
  <si>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</si>
  <si>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</si>
  <si>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</si>
  <si>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</si>
  <si>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</si>
  <si>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</si>
  <si>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</si>
  <si>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</si>
  <si>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</si>
  <si>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</si>
  <si>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</si>
  <si>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</si>
  <si>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</si>
  <si>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</si>
  <si>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</si>
  <si>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</si>
  <si>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</si>
  <si>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</si>
  <si>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</si>
  <si>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</si>
  <si>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</si>
  <si>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</si>
  <si>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</si>
  <si>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</si>
  <si>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</si>
  <si>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</si>
  <si>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</si>
  <si>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</si>
  <si>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</si>
  <si>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</si>
  <si>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</si>
  <si>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</si>
  <si>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</si>
  <si>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</si>
  <si>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</si>
  <si>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</si>
  <si>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</si>
  <si>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</si>
  <si>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</si>
  <si>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</si>
  <si>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</si>
  <si>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</si>
  <si>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</si>
  <si>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</si>
  <si>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</si>
  <si>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</si>
  <si>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</si>
  <si>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</si>
  <si>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</si>
  <si>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</si>
  <si>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</si>
  <si>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</si>
  <si>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</si>
  <si>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</si>
  <si>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</si>
  <si>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</si>
  <si>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</si>
  <si>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</si>
  <si>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</si>
  <si>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</si>
  <si>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</si>
  <si>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</si>
  <si>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</si>
  <si>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</si>
  <si>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</si>
  <si>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</si>
  <si>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</si>
  <si>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</si>
  <si>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</si>
  <si>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</si>
  <si>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</si>
  <si>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</si>
  <si>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</si>
  <si>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</si>
  <si>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</si>
  <si>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</si>
  <si>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</si>
  <si>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</si>
  <si>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</si>
  <si>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</si>
  <si>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</si>
  <si>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</si>
  <si>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</si>
  <si>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</si>
  <si>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</si>
  <si>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</si>
  <si>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</si>
  <si>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</si>
  <si>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</si>
  <si>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</si>
  <si>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</si>
  <si>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</si>
  <si>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</si>
  <si>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</si>
  <si>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</si>
  <si>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</si>
  <si>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</si>
  <si>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</si>
  <si>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</si>
  <si>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</si>
  <si>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</si>
  <si>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</si>
  <si>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</si>
  <si>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</si>
  <si>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</si>
  <si>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</si>
  <si>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</si>
  <si>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</si>
  <si>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</si>
  <si>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</si>
  <si>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</si>
  <si>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</si>
  <si>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</si>
  <si>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</si>
  <si>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</si>
  <si>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</si>
  <si>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</si>
  <si>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</si>
  <si>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</si>
  <si>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</si>
  <si>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</si>
  <si>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</si>
  <si>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</si>
  <si>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</si>
  <si>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</si>
  <si>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</si>
  <si>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</si>
  <si>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</si>
  <si>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</si>
  <si>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</si>
  <si>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</si>
  <si>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</si>
  <si>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</si>
  <si>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</si>
  <si>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</si>
  <si>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</si>
  <si>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</si>
  <si>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</si>
  <si>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</si>
  <si>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</si>
  <si>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</si>
  <si>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</si>
  <si>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</si>
  <si>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</si>
  <si>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</si>
  <si>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</si>
  <si>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</si>
  <si>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</si>
  <si>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</si>
  <si>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</si>
  <si>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</si>
  <si>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</si>
  <si>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</si>
  <si>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</si>
  <si>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</si>
  <si>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</si>
  <si>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</si>
  <si>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</si>
  <si>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</si>
  <si>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</si>
  <si>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</si>
  <si>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</si>
  <si>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</si>
  <si>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</si>
  <si>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</si>
  <si>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</si>
  <si>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</si>
  <si>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</si>
  <si>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</si>
  <si>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</si>
  <si>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</si>
  <si>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</si>
  <si>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</si>
  <si>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</si>
  <si>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</si>
  <si>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</si>
  <si>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</si>
  <si>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</si>
  <si>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</si>
  <si>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</si>
  <si>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</si>
  <si>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</si>
  <si>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</si>
  <si>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</si>
  <si>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</si>
  <si>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</si>
  <si>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</si>
  <si>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</si>
  <si>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</si>
  <si>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</si>
  <si>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</si>
  <si>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</si>
  <si>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</si>
  <si>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</si>
  <si>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</si>
  <si>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</si>
  <si>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</si>
  <si>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</si>
  <si>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</si>
  <si>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</si>
  <si>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</si>
  <si>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</si>
  <si>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</si>
  <si>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</si>
  <si>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</si>
  <si>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</si>
  <si>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</si>
  <si>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</si>
  <si>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</si>
  <si>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</si>
  <si>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</si>
  <si>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</si>
  <si>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</si>
  <si>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</si>
  <si>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</si>
  <si>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</si>
  <si>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</si>
  <si>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</si>
  <si>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</si>
  <si>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</si>
  <si>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</si>
  <si>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</si>
  <si>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</si>
  <si>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</si>
  <si>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</si>
  <si>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</si>
  <si>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</si>
  <si>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</si>
  <si>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</si>
  <si>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</si>
  <si>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</si>
  <si>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</si>
  <si>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</si>
  <si>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</si>
  <si>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</si>
  <si>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</si>
  <si>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</si>
  <si>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</si>
  <si>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</si>
  <si>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</si>
  <si>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</si>
  <si>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</si>
  <si>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</si>
  <si>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</si>
  <si>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</si>
  <si>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</si>
  <si>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</si>
  <si>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</si>
  <si>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</si>
  <si>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</si>
  <si>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</si>
  <si>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</si>
  <si>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</si>
  <si>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</si>
  <si>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</si>
  <si>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</si>
  <si>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</si>
  <si>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</si>
  <si>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</si>
  <si>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</si>
  <si>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</si>
  <si>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</si>
  <si>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</si>
  <si>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</si>
  <si>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</si>
  <si>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</si>
  <si>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</si>
  <si>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</si>
  <si>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</si>
  <si>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</si>
  <si>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</si>
  <si>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</si>
  <si>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</si>
  <si>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</si>
  <si>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</si>
  <si>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</si>
  <si>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</si>
  <si>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</si>
  <si>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</si>
  <si>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</si>
  <si>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</si>
  <si>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</si>
  <si>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</si>
  <si>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</si>
  <si>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</si>
  <si>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</si>
  <si>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</si>
  <si>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</si>
  <si>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</si>
  <si>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</si>
  <si>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</si>
  <si>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</si>
  <si>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</si>
  <si>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</si>
  <si>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</si>
  <si>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</si>
  <si>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</si>
  <si>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</si>
  <si>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</si>
  <si>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</si>
  <si>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</si>
  <si>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</si>
  <si>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</si>
  <si>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</si>
  <si>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</si>
  <si>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</si>
  <si>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</si>
  <si>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</si>
  <si>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</si>
  <si>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</si>
  <si>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</si>
  <si>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</si>
  <si>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</si>
  <si>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</si>
  <si>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</si>
  <si>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</si>
  <si>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</si>
  <si>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</si>
  <si>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</si>
  <si>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</si>
  <si>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</si>
  <si>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</si>
  <si>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</si>
  <si>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</si>
  <si>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</si>
  <si>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</si>
  <si>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</si>
  <si>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</si>
  <si>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</si>
  <si>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</si>
  <si>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</si>
  <si>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</si>
  <si>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</si>
  <si>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</si>
  <si>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</si>
  <si>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</si>
  <si>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</si>
  <si>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</si>
  <si>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</si>
  <si>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</si>
  <si>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</si>
  <si>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</si>
  <si>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</si>
  <si>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</si>
  <si>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</si>
  <si>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</si>
  <si>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</si>
  <si>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</si>
  <si>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</si>
  <si>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</si>
  <si>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</si>
  <si>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</si>
  <si>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</si>
  <si>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</si>
  <si>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</si>
  <si>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</si>
  <si>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</si>
  <si>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</si>
  <si>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</si>
  <si>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</si>
  <si>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</si>
  <si>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</si>
  <si>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</si>
  <si>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</si>
  <si>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</si>
  <si>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</si>
  <si>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</si>
  <si>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</si>
  <si>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</si>
  <si>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</si>
  <si>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</si>
  <si>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</si>
  <si>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</si>
  <si>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</si>
  <si>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</si>
  <si>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</si>
  <si>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</si>
  <si>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</si>
  <si>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</si>
  <si>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</si>
  <si>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</si>
  <si>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</si>
  <si>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</si>
  <si>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</si>
  <si>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</si>
  <si>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</si>
  <si>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</si>
  <si>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</si>
  <si>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</si>
  <si>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</si>
  <si>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</si>
  <si>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</si>
  <si>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</si>
  <si>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</si>
  <si>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</si>
  <si>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</si>
  <si>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</si>
  <si>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</si>
  <si>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</si>
  <si>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</si>
  <si>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</si>
  <si>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</si>
  <si>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</si>
  <si>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</si>
  <si>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</si>
  <si>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</si>
  <si>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</si>
  <si>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</si>
  <si>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</si>
  <si>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</si>
  <si>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</si>
  <si>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</si>
  <si>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</si>
  <si>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</si>
  <si>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</si>
  <si>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</si>
  <si>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</si>
  <si>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</si>
  <si>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</si>
  <si>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</si>
  <si>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</si>
  <si>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</si>
  <si>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</si>
  <si>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</si>
  <si>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</si>
  <si>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</si>
  <si>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</si>
  <si>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</si>
  <si>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</si>
  <si>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</si>
  <si>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</si>
  <si>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</si>
  <si>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</si>
  <si>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</si>
  <si>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</si>
  <si>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</si>
  <si>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</si>
  <si>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</si>
  <si>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</si>
  <si>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</si>
  <si>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</si>
  <si>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</si>
  <si>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</si>
  <si>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</si>
  <si>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</si>
  <si>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</si>
  <si>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</si>
  <si>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</si>
  <si>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</si>
  <si>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</si>
  <si>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</si>
  <si>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</si>
  <si>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</si>
  <si>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</si>
  <si>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</si>
  <si>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</si>
  <si>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</si>
  <si>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</si>
  <si>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</si>
  <si>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</si>
  <si>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</si>
  <si>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</si>
  <si>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</si>
  <si>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</si>
  <si>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</si>
  <si>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</si>
  <si>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</si>
  <si>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</si>
  <si>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</si>
  <si>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</si>
  <si>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</si>
  <si>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</si>
  <si>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</si>
  <si>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</si>
  <si>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</si>
  <si>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</si>
  <si>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</si>
  <si>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</si>
  <si>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</si>
  <si>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</si>
  <si>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</si>
  <si>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</si>
  <si>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</si>
  <si>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</si>
  <si>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</si>
  <si>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</si>
  <si>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</si>
  <si>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</si>
  <si>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</si>
  <si>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</si>
  <si>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</si>
  <si>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</si>
  <si>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</si>
  <si>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</si>
  <si>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</si>
  <si>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</si>
  <si>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</si>
  <si>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</si>
  <si>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</si>
  <si>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</si>
  <si>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</si>
  <si>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</si>
  <si>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</si>
  <si>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</si>
  <si>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</si>
  <si>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</si>
  <si>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</si>
  <si>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</si>
  <si>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</si>
  <si>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</si>
  <si>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</si>
  <si>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</si>
  <si>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</si>
  <si>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</si>
  <si>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</si>
  <si>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</si>
  <si>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</si>
  <si>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</si>
  <si>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</si>
  <si>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</si>
  <si>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</si>
  <si>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</si>
  <si>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</si>
  <si>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</si>
  <si>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</si>
  <si>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</si>
  <si>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</si>
  <si>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</si>
  <si>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</si>
  <si>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</si>
  <si>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</si>
  <si>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</si>
  <si>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</si>
  <si>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</si>
  <si>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</si>
  <si>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</si>
  <si>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</si>
  <si>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</si>
  <si>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</si>
  <si>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</si>
  <si>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</si>
  <si>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</si>
  <si>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</si>
  <si>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</si>
  <si>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</si>
  <si>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</si>
  <si>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</si>
  <si>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</si>
  <si>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</si>
  <si>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</si>
  <si>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</si>
  <si>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</si>
  <si>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</si>
  <si>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</si>
  <si>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</si>
  <si>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</si>
  <si>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</si>
  <si>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</si>
  <si>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</si>
  <si>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</si>
  <si>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</si>
  <si>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</si>
  <si>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</si>
  <si>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</si>
  <si>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</si>
  <si>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</si>
  <si>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</si>
  <si>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</si>
  <si>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</si>
  <si>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</si>
  <si>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</si>
  <si>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</si>
  <si>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</si>
  <si>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</si>
  <si>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</si>
  <si>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</si>
  <si>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</si>
  <si>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</si>
  <si>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</si>
  <si>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</si>
  <si>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</si>
  <si>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</si>
  <si>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</si>
  <si>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</si>
  <si>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</si>
  <si>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</si>
  <si>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</si>
  <si>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</si>
  <si>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</si>
  <si>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</si>
  <si>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</si>
  <si>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</si>
  <si>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</si>
  <si>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</si>
  <si>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</si>
  <si>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</si>
  <si>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</si>
  <si>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</si>
  <si>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</si>
  <si>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</si>
  <si>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</si>
  <si>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</si>
  <si>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</si>
  <si>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</si>
  <si>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</si>
  <si>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</si>
  <si>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</si>
  <si>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</si>
  <si>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</si>
  <si>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</si>
  <si>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</si>
  <si>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</si>
  <si>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</si>
  <si>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</si>
  <si>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</si>
  <si>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</si>
  <si>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</si>
  <si>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</si>
  <si>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</si>
  <si>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</si>
  <si>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</si>
  <si>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</si>
  <si>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</si>
  <si>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</si>
  <si>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</si>
  <si>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</si>
  <si>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</si>
  <si>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</si>
  <si>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</si>
  <si>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</si>
  <si>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</si>
  <si>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</si>
  <si>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</si>
  <si>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</si>
  <si>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</si>
  <si>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</si>
  <si>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</si>
  <si>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</si>
  <si>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</si>
  <si>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</si>
  <si>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</si>
  <si>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</si>
  <si>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</si>
  <si>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</si>
  <si>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</si>
  <si>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</si>
  <si>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</si>
  <si>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</si>
  <si>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</si>
  <si>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</si>
  <si>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</si>
  <si>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</si>
  <si>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</si>
  <si>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</si>
  <si>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</si>
  <si>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</si>
  <si>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</si>
  <si>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</si>
  <si>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</si>
  <si>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</si>
  <si>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</si>
  <si>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</si>
  <si>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</si>
  <si>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</si>
  <si>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</si>
  <si>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</si>
  <si>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</si>
  <si>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</si>
  <si>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</si>
  <si>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</si>
  <si>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</si>
  <si>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</si>
  <si>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</si>
  <si>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</si>
  <si>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</si>
  <si>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</si>
  <si>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</si>
  <si>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</si>
  <si>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</si>
  <si>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</si>
  <si>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</si>
  <si>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</si>
  <si>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</si>
  <si>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</si>
  <si>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</si>
  <si>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</si>
  <si>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</si>
  <si>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</si>
  <si>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</si>
  <si>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</si>
  <si>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</si>
  <si>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</si>
  <si>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</si>
  <si>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</si>
  <si>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</si>
  <si>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</si>
  <si>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</si>
  <si>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</si>
  <si>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</si>
  <si>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</si>
  <si>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</si>
  <si>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</si>
  <si>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</si>
  <si>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</si>
  <si>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</si>
  <si>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</si>
  <si>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</si>
  <si>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</si>
  <si>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</si>
  <si>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</si>
  <si>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</si>
  <si>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</si>
  <si>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</si>
  <si>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</si>
  <si>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</si>
  <si>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</si>
  <si>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</si>
  <si>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</si>
  <si>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</si>
  <si>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</si>
  <si>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</si>
  <si>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</si>
  <si>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</si>
  <si>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</si>
  <si>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</si>
  <si>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</si>
  <si>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</si>
  <si>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</si>
  <si>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</si>
  <si>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</si>
  <si>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</si>
  <si>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</si>
  <si>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</si>
  <si>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</si>
  <si>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</si>
  <si>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</si>
  <si>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</si>
  <si>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</si>
  <si>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</si>
  <si>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</si>
  <si>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</si>
  <si>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</si>
  <si>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</si>
  <si>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</si>
  <si>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</si>
  <si>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</si>
  <si>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</si>
  <si>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</si>
  <si>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</si>
  <si>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</si>
  <si>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</si>
  <si>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</si>
  <si>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</si>
  <si>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</si>
  <si>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</si>
  <si>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</si>
  <si>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</si>
  <si>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</si>
  <si>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</si>
  <si>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</si>
  <si>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</si>
  <si>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</si>
  <si>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</si>
  <si>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</si>
  <si>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</si>
  <si>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</si>
  <si>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</si>
  <si>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</si>
  <si>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</si>
  <si>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</si>
  <si>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</si>
  <si>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</si>
  <si>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</si>
  <si>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</si>
  <si>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</si>
  <si>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</si>
  <si>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</si>
  <si>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</si>
  <si>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</si>
  <si>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</si>
  <si>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</si>
  <si>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</si>
  <si>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</si>
  <si>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</si>
  <si>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</si>
  <si>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</si>
  <si>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</si>
  <si>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</si>
  <si>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</si>
  <si>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</si>
  <si>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</si>
  <si>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</si>
  <si>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</si>
  <si>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</si>
  <si>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</si>
  <si>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</si>
  <si>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</si>
  <si>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</si>
  <si>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</si>
  <si>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</si>
  <si>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</si>
  <si>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</si>
  <si>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</si>
  <si>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</si>
  <si>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</si>
  <si>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</si>
  <si>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</si>
  <si>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</si>
  <si>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</si>
  <si>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</si>
  <si>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</si>
  <si>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</si>
  <si>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</si>
  <si>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</si>
  <si>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</si>
  <si>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</si>
  <si>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</si>
  <si>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</si>
  <si>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</si>
  <si>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</si>
  <si>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</si>
  <si>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</si>
  <si>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</si>
  <si>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</si>
  <si>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</si>
  <si>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</si>
  <si>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</si>
  <si>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</si>
  <si>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</si>
  <si>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</si>
  <si>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</si>
  <si>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</si>
  <si>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</si>
  <si>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</si>
  <si>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</si>
  <si>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</si>
  <si>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</si>
  <si>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</si>
  <si>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</si>
  <si>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</si>
  <si>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</si>
  <si>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</si>
  <si>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</si>
  <si>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</si>
  <si>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</si>
  <si>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</si>
  <si>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</si>
  <si>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</si>
  <si>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</si>
  <si>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</si>
  <si>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</si>
  <si>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</si>
  <si>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</si>
  <si>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</si>
  <si>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</si>
  <si>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</si>
  <si>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</si>
  <si>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</si>
  <si>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</si>
  <si>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</si>
  <si>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</si>
  <si>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</si>
  <si>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</si>
  <si>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</si>
  <si>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</si>
  <si>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</si>
  <si>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</si>
  <si>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</si>
  <si>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</si>
  <si>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</si>
  <si>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</si>
  <si>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</si>
  <si>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</si>
  <si>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</si>
  <si>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</si>
  <si>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</si>
  <si>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</si>
  <si>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</si>
  <si>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</si>
  <si>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</si>
  <si>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</si>
  <si>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</si>
  <si>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</si>
  <si>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</si>
  <si>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</si>
  <si>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</si>
  <si>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</si>
  <si>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</si>
  <si>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</si>
  <si>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</si>
  <si>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</si>
  <si>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</si>
  <si>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</si>
  <si>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</si>
  <si>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</si>
  <si>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</si>
  <si>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</si>
  <si>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</si>
  <si>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</si>
  <si>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</si>
  <si>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</si>
  <si>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</si>
  <si>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</si>
  <si>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</si>
  <si>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</si>
  <si>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</si>
  <si>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</si>
  <si>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</si>
  <si>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</si>
  <si>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</si>
  <si>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</si>
  <si>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</si>
  <si>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</si>
  <si>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</si>
  <si>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</si>
  <si>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</si>
  <si>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</si>
  <si>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</si>
  <si>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</si>
  <si>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</si>
  <si>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</si>
  <si>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</si>
  <si>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</si>
  <si>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</si>
  <si>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</si>
  <si>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</si>
  <si>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</si>
  <si>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</si>
  <si>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</si>
  <si>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</si>
  <si>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</si>
  <si>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</si>
  <si>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</si>
  <si>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</si>
  <si>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</si>
  <si>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</si>
  <si>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</si>
  <si>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</si>
  <si>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</si>
  <si>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</si>
  <si>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</si>
  <si>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</si>
  <si>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</si>
  <si>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</si>
  <si>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</si>
  <si>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</si>
  <si>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</si>
  <si>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</si>
  <si>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</si>
  <si>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</si>
  <si>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</si>
  <si>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</si>
  <si>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</si>
  <si>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</si>
  <si>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</si>
  <si>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</si>
  <si>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</si>
  <si>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</si>
  <si>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</si>
  <si>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</si>
  <si>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</si>
  <si>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</si>
  <si>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</si>
  <si>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</si>
  <si>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</si>
  <si>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</si>
  <si>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</si>
  <si>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</si>
  <si>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</si>
  <si>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</si>
  <si>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</si>
  <si>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</si>
  <si>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</si>
  <si>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</si>
  <si>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</si>
  <si>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</si>
  <si>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</si>
  <si>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</si>
  <si>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</si>
  <si>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</si>
  <si>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</si>
  <si>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</si>
  <si>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</si>
  <si>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</si>
  <si>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</si>
  <si>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</si>
  <si>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</si>
  <si>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</si>
  <si>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</si>
  <si>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</si>
  <si>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</si>
  <si>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</si>
  <si>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</si>
  <si>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</si>
  <si>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</si>
  <si>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</si>
  <si>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</si>
  <si>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</si>
  <si>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</si>
  <si>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</si>
  <si>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</si>
  <si>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</si>
  <si>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</si>
  <si>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</si>
  <si>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</si>
  <si>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</si>
  <si>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</si>
  <si>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</si>
  <si>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</si>
  <si>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</si>
  <si>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</si>
  <si>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</si>
  <si>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</si>
  <si>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</si>
  <si>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</si>
  <si>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</si>
  <si>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</si>
  <si>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</si>
  <si>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</si>
  <si>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</si>
  <si>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</si>
  <si>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</si>
  <si>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</si>
  <si>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</si>
  <si>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</si>
  <si>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</si>
  <si>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</si>
  <si>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</si>
  <si>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</si>
  <si>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</si>
  <si>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</si>
  <si>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</si>
  <si>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</si>
  <si>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</si>
  <si>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</si>
  <si>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</si>
  <si>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</si>
  <si>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</si>
  <si>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</si>
  <si>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</si>
  <si>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</si>
  <si>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</si>
  <si>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</si>
  <si>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</si>
  <si>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</si>
  <si>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</si>
  <si>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</si>
  <si>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</si>
  <si>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</si>
  <si>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</si>
  <si>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</si>
  <si>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</si>
  <si>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</si>
  <si>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</si>
  <si>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</si>
  <si>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</si>
  <si>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</si>
  <si>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</si>
  <si>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</si>
  <si>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</si>
  <si>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</si>
  <si>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</si>
  <si>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</si>
  <si>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</si>
  <si>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</si>
  <si>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</si>
  <si>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</si>
  <si>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</si>
  <si>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</si>
  <si>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</si>
  <si>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</si>
  <si>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</si>
  <si>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</si>
  <si>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</si>
  <si>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</si>
  <si>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</si>
  <si>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</si>
  <si>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</si>
  <si>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</si>
  <si>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</si>
  <si>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</si>
  <si>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</si>
  <si>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</si>
  <si>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</si>
  <si>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</si>
  <si>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</si>
  <si>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</si>
  <si>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</si>
  <si>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</si>
  <si>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</si>
  <si>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</si>
  <si>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</si>
  <si>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</si>
  <si>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</si>
  <si>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</si>
  <si>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</si>
  <si>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</si>
  <si>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</si>
  <si>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</si>
  <si>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</si>
  <si>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</si>
  <si>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</si>
  <si>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</si>
  <si>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</si>
  <si>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</si>
  <si>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</si>
  <si>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</si>
  <si>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</si>
  <si>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</si>
  <si>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</si>
  <si>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</si>
  <si>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</si>
  <si>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</si>
  <si>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</si>
  <si>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</si>
  <si>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</si>
  <si>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</si>
  <si>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</si>
  <si>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</si>
  <si>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</si>
  <si>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</si>
  <si>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</si>
  <si>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</si>
  <si>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</si>
  <si>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</si>
  <si>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</si>
  <si>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</si>
  <si>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</si>
  <si>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</si>
  <si>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</si>
  <si>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</si>
  <si>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</si>
  <si>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</si>
  <si>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</si>
  <si>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</si>
  <si>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</si>
  <si>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</si>
  <si>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</si>
  <si>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</si>
  <si>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</si>
  <si>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</si>
  <si>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</si>
  <si>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</si>
  <si>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</si>
  <si>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</si>
  <si>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</si>
  <si>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</si>
  <si>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</si>
  <si>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</si>
  <si>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</si>
  <si>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</si>
  <si>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</si>
  <si>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</si>
  <si>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</si>
  <si>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</si>
  <si>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</si>
  <si>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</si>
  <si>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</si>
  <si>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</si>
  <si>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</si>
  <si>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</si>
  <si>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</si>
  <si>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</si>
  <si>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</si>
  <si>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</si>
  <si>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</si>
  <si>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</si>
  <si>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</si>
  <si>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</si>
  <si>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</si>
  <si>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</si>
  <si>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</si>
  <si>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</si>
  <si>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</si>
  <si>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</si>
  <si>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</si>
  <si>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</si>
  <si>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</si>
  <si>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</si>
  <si>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</si>
  <si>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</si>
  <si>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</si>
  <si>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</si>
  <si>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</si>
  <si>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</si>
  <si>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</si>
  <si>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</si>
  <si>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</si>
  <si>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</si>
  <si>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</si>
  <si>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</si>
  <si>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</si>
  <si>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</si>
  <si>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</si>
  <si>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</si>
  <si>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</si>
  <si>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</si>
  <si>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</si>
  <si>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</si>
  <si>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</si>
  <si>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</si>
  <si>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</si>
  <si>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</si>
  <si>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</si>
  <si>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</si>
  <si>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</si>
  <si>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</si>
  <si>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</si>
  <si>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</si>
  <si>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</si>
  <si>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</si>
  <si>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</si>
  <si>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</si>
  <si>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</si>
  <si>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</si>
  <si>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</si>
  <si>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</si>
  <si>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</si>
  <si>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</si>
  <si>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</si>
  <si>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</si>
  <si>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</si>
  <si>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</si>
  <si>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</si>
  <si>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</si>
  <si>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</si>
  <si>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</si>
  <si>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</si>
  <si>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</si>
  <si>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</si>
  <si>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</si>
  <si>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</si>
  <si>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</si>
  <si>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</si>
  <si>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</si>
  <si>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</si>
  <si>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</si>
  <si>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</si>
  <si>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</si>
  <si>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</si>
  <si>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</si>
  <si>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</si>
  <si>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</si>
  <si>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</si>
  <si>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</si>
  <si>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</si>
  <si>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</si>
  <si>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</si>
  <si>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</si>
  <si>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</si>
  <si>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</si>
  <si>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</si>
  <si>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</si>
  <si>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</si>
  <si>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</si>
  <si>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</si>
  <si>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</si>
  <si>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</si>
  <si>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</si>
  <si>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</si>
  <si>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</si>
  <si>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</si>
  <si>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</si>
  <si>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</si>
  <si>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</si>
  <si>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</si>
  <si>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</si>
  <si>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</si>
  <si>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</si>
  <si>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</si>
  <si>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</si>
  <si>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</si>
  <si>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</si>
  <si>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</si>
  <si>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</si>
  <si>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</si>
  <si>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</si>
  <si>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</si>
  <si>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</si>
  <si>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</si>
  <si>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</si>
  <si>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</si>
  <si>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</si>
  <si>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</si>
  <si>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</si>
  <si>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</si>
  <si>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</si>
  <si>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</si>
  <si>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</si>
  <si>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</si>
  <si>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</si>
  <si>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</si>
  <si>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</si>
  <si>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</si>
  <si>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</si>
  <si>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</si>
  <si>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</si>
  <si>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</si>
  <si>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</si>
  <si>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</si>
  <si>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</si>
  <si>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</si>
  <si>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</si>
  <si>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</si>
  <si>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</si>
  <si>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</si>
  <si>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</si>
  <si>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</si>
  <si>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</si>
  <si>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</si>
  <si>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</si>
  <si>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</si>
  <si>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</si>
  <si>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</si>
  <si>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</si>
  <si>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</si>
  <si>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</si>
  <si>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</si>
  <si>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</si>
  <si>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</si>
  <si>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</si>
  <si>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</si>
  <si>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</si>
  <si>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</si>
  <si>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</si>
  <si>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</si>
  <si>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</si>
  <si>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</si>
  <si>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</si>
  <si>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</si>
  <si>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</si>
  <si>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</si>
  <si>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</si>
  <si>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</si>
  <si>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</si>
  <si>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</si>
  <si>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</si>
  <si>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</si>
  <si>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</si>
  <si>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</si>
  <si>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</si>
  <si>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</si>
  <si>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</si>
  <si>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</si>
  <si>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</si>
  <si>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</si>
  <si>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</si>
  <si>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</si>
  <si>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</si>
  <si>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</si>
  <si>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</si>
  <si>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</si>
  <si>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</si>
  <si>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</si>
  <si>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</si>
  <si>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</si>
  <si>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</si>
  <si>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</si>
  <si>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</si>
  <si>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</si>
  <si>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</si>
  <si>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</si>
  <si>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</si>
  <si>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</si>
  <si>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</si>
  <si>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</si>
  <si>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</si>
  <si>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</si>
  <si>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</si>
  <si>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</si>
  <si>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</si>
  <si>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</si>
  <si>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</si>
  <si>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</si>
  <si>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</si>
  <si>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</si>
  <si>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</si>
  <si>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</si>
  <si>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</si>
  <si>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</si>
  <si>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</si>
  <si>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</si>
  <si>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</si>
  <si>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</si>
  <si>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</si>
  <si>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</si>
  <si>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</si>
  <si>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</si>
  <si>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</si>
  <si>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</si>
  <si>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</si>
  <si>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</si>
  <si>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</si>
  <si>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</si>
  <si>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</si>
  <si>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</si>
  <si>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</si>
  <si>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</si>
  <si>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</si>
  <si>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</si>
  <si>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</si>
  <si>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</si>
  <si>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</si>
  <si>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</si>
  <si>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</si>
  <si>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</si>
  <si>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</si>
  <si>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</si>
  <si>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</si>
  <si>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</si>
  <si>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</si>
  <si>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</si>
  <si>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</si>
  <si>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</si>
  <si>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</si>
  <si>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</si>
  <si>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</si>
  <si>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</si>
  <si>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</si>
  <si>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</si>
  <si>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</si>
  <si>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</si>
  <si>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</si>
  <si>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</si>
  <si>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</si>
  <si>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</si>
  <si>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</si>
  <si>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</si>
  <si>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</si>
  <si>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</si>
  <si>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</si>
  <si>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</si>
  <si>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</si>
  <si>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</si>
  <si>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</si>
  <si>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</si>
  <si>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</si>
  <si>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</si>
  <si>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</si>
  <si>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</si>
  <si>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</si>
  <si>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</si>
  <si>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</si>
  <si>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</si>
  <si>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</si>
  <si>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</si>
  <si>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</si>
  <si>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</si>
  <si>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</si>
  <si>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</si>
  <si>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</si>
  <si>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</si>
  <si>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</si>
  <si>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</si>
  <si>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</si>
  <si>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</si>
  <si>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</si>
  <si>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</si>
  <si>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</si>
  <si>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</si>
  <si>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</si>
  <si>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</si>
  <si>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</si>
  <si>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</si>
  <si>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</si>
  <si>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</si>
  <si>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</si>
  <si>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</si>
  <si>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</si>
  <si>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</si>
  <si>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</si>
  <si>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</si>
  <si>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</si>
  <si>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</si>
  <si>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</si>
  <si>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</si>
  <si>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</si>
  <si>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</si>
  <si>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</si>
  <si>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</si>
  <si>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</si>
  <si>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</si>
  <si>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</si>
  <si>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</si>
  <si>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</si>
  <si>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</si>
  <si>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</si>
  <si>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</si>
  <si>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</si>
  <si>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</si>
  <si>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</si>
  <si>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</si>
  <si>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</si>
  <si>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</si>
  <si>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</si>
  <si>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</si>
  <si>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</si>
  <si>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</si>
  <si>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</si>
  <si>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</si>
  <si>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</si>
  <si>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</si>
  <si>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</si>
  <si>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</si>
  <si>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</si>
  <si>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</si>
  <si>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</si>
  <si>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</si>
  <si>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</si>
  <si>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</si>
  <si>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</si>
  <si>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</si>
  <si>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</si>
  <si>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</si>
  <si>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</si>
  <si>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</si>
  <si>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</si>
  <si>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</si>
  <si>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</si>
  <si>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</si>
  <si>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</si>
  <si>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</si>
  <si>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</si>
  <si>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</si>
  <si>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</si>
  <si>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</si>
  <si>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</si>
  <si>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</si>
  <si>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</si>
  <si>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</si>
  <si>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</si>
  <si>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</si>
  <si>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</si>
  <si>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</si>
  <si>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</si>
  <si>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</si>
  <si>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</si>
  <si>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</si>
  <si>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</si>
  <si>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</si>
  <si>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</si>
  <si>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</si>
  <si>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</si>
  <si>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</si>
  <si>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</si>
  <si>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</si>
  <si>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</si>
  <si>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</si>
  <si>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</si>
  <si>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</si>
  <si>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</si>
  <si>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</si>
  <si>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</si>
  <si>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</si>
  <si>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</si>
  <si>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</si>
  <si>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</si>
  <si>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</si>
  <si>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</si>
  <si>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</si>
  <si>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</si>
  <si>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</si>
  <si>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</si>
  <si>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</si>
  <si>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</si>
  <si>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</si>
  <si>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</si>
  <si>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</si>
  <si>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</si>
  <si>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</si>
  <si>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</si>
  <si>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</si>
  <si>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</si>
  <si>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</si>
  <si>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</si>
  <si>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</si>
  <si>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</si>
  <si>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</si>
  <si>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</si>
  <si>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</si>
  <si>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</si>
  <si>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</si>
  <si>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</si>
  <si>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</si>
  <si>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</si>
  <si>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</si>
  <si>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</si>
  <si>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</si>
  <si>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</si>
  <si>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</si>
  <si>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</si>
  <si>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</si>
  <si>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</si>
  <si>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</si>
  <si>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</si>
  <si>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</si>
  <si>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</si>
  <si>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</si>
  <si>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</si>
  <si>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</si>
  <si>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</si>
  <si>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</si>
  <si>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</si>
  <si>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</si>
  <si>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</si>
  <si>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</si>
  <si>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</si>
  <si>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</si>
  <si>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</si>
  <si>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</si>
  <si>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</si>
  <si>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</si>
  <si>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</si>
  <si>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</si>
  <si>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</si>
  <si>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</si>
  <si>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</si>
  <si>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</si>
  <si>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</si>
  <si>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</si>
  <si>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</si>
  <si>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</si>
  <si>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</si>
  <si>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</si>
  <si>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</si>
  <si>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</si>
  <si>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</si>
  <si>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</si>
  <si>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</si>
  <si>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</si>
  <si>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</si>
  <si>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</si>
  <si>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</si>
  <si>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</si>
  <si>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</si>
  <si>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</si>
  <si>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</si>
  <si>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</si>
  <si>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</si>
  <si>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</si>
  <si>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</si>
  <si>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</si>
  <si>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</si>
  <si>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</si>
  <si>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</si>
  <si>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</si>
  <si>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</si>
  <si>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</si>
  <si>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</si>
  <si>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</si>
  <si>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</si>
  <si>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</si>
  <si>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</si>
  <si>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</si>
  <si>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</si>
  <si>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</si>
  <si>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</si>
  <si>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</si>
  <si>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</si>
  <si>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</si>
  <si>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</si>
  <si>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</si>
  <si>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</si>
  <si>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</si>
  <si>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</si>
  <si>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</si>
  <si>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</si>
  <si>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</si>
  <si>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</si>
  <si>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</si>
  <si>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</si>
  <si>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</si>
  <si>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</si>
  <si>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</si>
  <si>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</si>
  <si>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</si>
  <si>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</si>
  <si>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</si>
  <si>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</si>
  <si>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</si>
  <si>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</si>
  <si>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</si>
  <si>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</si>
  <si>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</si>
  <si>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</si>
  <si>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</si>
  <si>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</si>
  <si>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</si>
  <si>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</si>
  <si>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</si>
  <si>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</si>
  <si>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</si>
  <si>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</si>
  <si>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</si>
  <si>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</si>
  <si>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</si>
  <si>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</si>
  <si>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</si>
  <si>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</si>
  <si>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</si>
  <si>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</si>
  <si>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</si>
  <si>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</si>
  <si>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</si>
  <si>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</si>
  <si>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</si>
  <si>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</si>
  <si>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</si>
  <si>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</si>
  <si>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</si>
  <si>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</si>
  <si>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</si>
  <si>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</si>
  <si>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</si>
  <si>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</si>
  <si>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</si>
  <si>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</si>
  <si>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</si>
  <si>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</si>
  <si>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</si>
  <si>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</si>
  <si>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</si>
  <si>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</si>
  <si>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</si>
  <si>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</si>
  <si>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</si>
  <si>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</si>
  <si>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</si>
  <si>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</si>
  <si>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</si>
  <si>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</si>
  <si>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</si>
  <si>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</si>
  <si>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</si>
  <si>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</si>
  <si>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</si>
  <si>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</si>
  <si>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</si>
  <si>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</si>
  <si>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</si>
  <si>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</si>
  <si>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</si>
  <si>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</si>
  <si>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</si>
  <si>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</si>
  <si>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</si>
  <si>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</si>
  <si>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</si>
  <si>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</si>
  <si>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</si>
  <si>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</si>
  <si>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</si>
  <si>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</si>
  <si>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</si>
  <si>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</si>
  <si>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</si>
  <si>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</si>
  <si>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</si>
  <si>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</si>
  <si>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</si>
  <si>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</si>
  <si>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</si>
  <si>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</si>
  <si>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</si>
  <si>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</si>
  <si>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</si>
  <si>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</si>
  <si>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</si>
  <si>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</si>
  <si>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</si>
  <si>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</si>
  <si>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</si>
  <si>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</si>
  <si>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</si>
  <si>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</si>
  <si>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</si>
  <si>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</si>
  <si>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</si>
  <si>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</si>
  <si>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</si>
  <si>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</si>
  <si>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</si>
  <si>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</si>
  <si>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</si>
  <si>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</si>
  <si>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</si>
  <si>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</si>
  <si>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</si>
  <si>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</si>
  <si>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</si>
  <si>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</si>
  <si>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</si>
  <si>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</si>
  <si>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</si>
  <si>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</si>
  <si>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</si>
  <si>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</si>
  <si>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</si>
  <si>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</si>
  <si>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</si>
  <si>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</si>
  <si>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</si>
  <si>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</si>
  <si>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</si>
  <si>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</si>
  <si>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</si>
  <si>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</si>
  <si>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</si>
  <si>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</si>
  <si>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</si>
  <si>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</si>
  <si>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</si>
  <si>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</si>
  <si>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</si>
  <si>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</si>
  <si>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</si>
  <si>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</si>
  <si>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</si>
  <si>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</si>
  <si>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</si>
  <si>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</si>
  <si>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</si>
  <si>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</si>
  <si>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</si>
  <si>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</si>
  <si>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</si>
  <si>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</si>
  <si>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</si>
  <si>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</si>
  <si>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</si>
  <si>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</si>
  <si>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</si>
  <si>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</si>
  <si>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</si>
  <si>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</si>
  <si>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</si>
  <si>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</si>
  <si>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</si>
  <si>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</si>
  <si>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</si>
  <si>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</si>
  <si>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</si>
  <si>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</si>
  <si>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</si>
  <si>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</si>
  <si>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</si>
  <si>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</si>
  <si>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</si>
  <si>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</si>
  <si>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</si>
  <si>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</si>
  <si>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</si>
  <si>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</si>
  <si>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</si>
  <si>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</si>
  <si>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</si>
  <si>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</si>
  <si>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</si>
  <si>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</si>
  <si>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</si>
  <si>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</si>
  <si>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</si>
  <si>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</si>
  <si>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</si>
  <si>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</si>
  <si>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</si>
  <si>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</si>
  <si>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</si>
  <si>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</si>
  <si>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</si>
  <si>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</si>
  <si>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</si>
  <si>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</si>
  <si>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</si>
  <si>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</si>
  <si>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</si>
  <si>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</si>
  <si>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</si>
  <si>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</si>
  <si>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</si>
  <si>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</si>
  <si>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</si>
  <si>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</si>
  <si>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</si>
  <si>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</si>
  <si>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</si>
  <si>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</si>
  <si>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</si>
  <si>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</si>
  <si>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</si>
  <si>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</si>
  <si>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</si>
  <si>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</si>
  <si>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</si>
  <si>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</si>
  <si>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</si>
  <si>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</si>
  <si>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</si>
  <si>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</si>
  <si>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</si>
  <si>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</si>
  <si>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</si>
  <si>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</si>
  <si>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</si>
  <si>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</si>
  <si>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</si>
  <si>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</si>
  <si>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</si>
  <si>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</si>
  <si>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</si>
  <si>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</si>
  <si>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</si>
  <si>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</si>
  <si>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</si>
  <si>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</si>
  <si>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</si>
  <si>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</si>
  <si>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</si>
  <si>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</si>
  <si>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</si>
  <si>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</si>
  <si>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</si>
  <si>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</si>
  <si>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</si>
  <si>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</si>
  <si>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</si>
  <si>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</si>
  <si>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</si>
  <si>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</si>
  <si>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</si>
  <si>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</si>
  <si>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</si>
  <si>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</si>
  <si>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</si>
  <si>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</si>
  <si>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</si>
  <si>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</si>
  <si>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</si>
  <si>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</si>
  <si>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</si>
  <si>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</si>
  <si>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</si>
  <si>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</si>
  <si>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</si>
  <si>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</si>
  <si>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</si>
  <si>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</si>
  <si>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</si>
  <si>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</si>
  <si>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</si>
  <si>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</si>
  <si>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</si>
  <si>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</si>
  <si>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</si>
  <si>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</si>
  <si>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</si>
  <si>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</si>
  <si>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</si>
  <si>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</si>
  <si>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</si>
  <si>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</si>
  <si>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</si>
  <si>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</si>
  <si>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</si>
  <si>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</si>
  <si>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</si>
  <si>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</si>
  <si>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</si>
  <si>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</si>
  <si>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</si>
  <si>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</si>
  <si>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</si>
  <si>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</si>
  <si>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</si>
  <si>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</si>
  <si>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</si>
  <si>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</si>
  <si>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</si>
  <si>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</si>
  <si>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</si>
  <si>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</si>
  <si>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</si>
  <si>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</si>
  <si>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</si>
  <si>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</si>
  <si>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</si>
  <si>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</si>
  <si>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</si>
  <si>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</si>
  <si>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</si>
  <si>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</si>
  <si>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</si>
  <si>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</si>
  <si>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</si>
  <si>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</si>
  <si>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</si>
  <si>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</si>
  <si>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</si>
  <si>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</si>
  <si>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</si>
  <si>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</si>
  <si>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</si>
  <si>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</si>
  <si>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</si>
  <si>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</si>
  <si>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</si>
  <si>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</si>
  <si>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</si>
  <si>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</si>
  <si>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</si>
  <si>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</si>
  <si>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</si>
  <si>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</si>
  <si>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</si>
  <si>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</si>
  <si>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</si>
  <si>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</si>
  <si>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</si>
  <si>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</si>
  <si>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</si>
  <si>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</si>
  <si>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</si>
  <si>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</si>
  <si>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</si>
  <si>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</si>
  <si>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</si>
  <si>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</si>
  <si>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</si>
  <si>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</si>
  <si>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</si>
  <si>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</si>
  <si>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</si>
  <si>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</si>
  <si>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</si>
  <si>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</si>
  <si>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</si>
  <si>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</si>
  <si>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</si>
  <si>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</si>
  <si>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</si>
  <si>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</si>
  <si>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</si>
  <si>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</si>
  <si>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</si>
  <si>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</si>
  <si>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</si>
  <si>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</si>
  <si>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</si>
  <si>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</si>
  <si>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</si>
  <si>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</si>
  <si>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</si>
  <si>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</si>
  <si>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</si>
  <si>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</si>
  <si>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</si>
  <si>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</si>
  <si>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</si>
  <si>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</si>
  <si>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</si>
  <si>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</si>
  <si>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</si>
  <si>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</si>
  <si>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</si>
  <si>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</si>
  <si>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</si>
  <si>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</si>
  <si>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</si>
  <si>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</si>
  <si>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</si>
  <si>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</si>
  <si>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</si>
  <si>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</si>
  <si>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</si>
  <si>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</si>
  <si>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</si>
  <si>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</si>
  <si>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</si>
  <si>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</si>
  <si>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</si>
  <si>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</si>
  <si>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</si>
  <si>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</si>
  <si>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</si>
  <si>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</si>
  <si>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</si>
  <si>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</si>
  <si>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</si>
  <si>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</si>
  <si>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</si>
  <si>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</si>
  <si>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</si>
  <si>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</si>
  <si>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</si>
  <si>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</si>
  <si>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</si>
  <si>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</si>
  <si>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</si>
  <si>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</si>
  <si>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</si>
  <si>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</si>
  <si>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</si>
  <si>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</si>
  <si>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</si>
  <si>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</si>
  <si>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</si>
  <si>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</si>
  <si>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</si>
  <si>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</si>
  <si>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</si>
  <si>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</si>
  <si>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</si>
  <si>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</si>
  <si>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</si>
  <si>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</si>
  <si>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</si>
  <si>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</si>
  <si>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</si>
  <si>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</si>
  <si>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</si>
  <si>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</si>
  <si>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</si>
  <si>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</si>
  <si>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</si>
  <si>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</si>
  <si>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</si>
  <si>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</si>
  <si>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</si>
  <si>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</si>
  <si>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</si>
  <si>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</si>
  <si>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</si>
  <si>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</si>
  <si>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</si>
  <si>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</si>
  <si>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</si>
  <si>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</si>
  <si>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</si>
  <si>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</si>
  <si>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</si>
  <si>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</si>
  <si>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</si>
  <si>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</si>
  <si>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</si>
  <si>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</si>
  <si>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</si>
  <si>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</si>
  <si>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</si>
  <si>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</si>
  <si>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</si>
  <si>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</si>
  <si>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</si>
  <si>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</si>
  <si>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</si>
  <si>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</si>
  <si>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</si>
  <si>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</si>
  <si>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</si>
  <si>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</si>
  <si>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</si>
  <si>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</si>
  <si>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</si>
  <si>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</si>
  <si>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</si>
  <si>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</si>
  <si>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</si>
  <si>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</si>
  <si>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</si>
  <si>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</si>
  <si>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</si>
  <si>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</si>
  <si>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</si>
  <si>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</si>
  <si>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</si>
  <si>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</si>
  <si>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</si>
  <si>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</si>
  <si>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</si>
  <si>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</si>
  <si>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</si>
  <si>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</si>
  <si>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</si>
  <si>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</si>
  <si>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</si>
  <si>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</si>
  <si>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</si>
  <si>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</si>
  <si>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</si>
  <si>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</si>
  <si>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</si>
  <si>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</si>
  <si>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</si>
  <si>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</si>
  <si>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</si>
  <si>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</si>
  <si>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</si>
  <si>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</si>
  <si>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</si>
  <si>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</si>
  <si>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</si>
  <si>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</si>
  <si>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</si>
  <si>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</si>
  <si>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</si>
  <si>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</si>
  <si>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</si>
  <si>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</si>
  <si>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</si>
  <si>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</si>
  <si>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</si>
  <si>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</si>
  <si>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</si>
  <si>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</si>
  <si>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</si>
  <si>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</si>
  <si>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</si>
  <si>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</si>
  <si>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</si>
  <si>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</si>
  <si>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</si>
  <si>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</si>
  <si>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</si>
  <si>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</si>
  <si>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</si>
  <si>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</si>
  <si>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</si>
  <si>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</si>
  <si>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</si>
  <si>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</si>
  <si>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</si>
  <si>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</si>
  <si>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</si>
  <si>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</si>
  <si>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</si>
  <si>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</si>
  <si>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</si>
  <si>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</si>
  <si>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</si>
  <si>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</si>
  <si>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</si>
  <si>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</si>
  <si>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</si>
  <si>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</si>
  <si>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</si>
  <si>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</si>
  <si>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</si>
  <si>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</si>
  <si>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</si>
  <si>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</si>
  <si>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</si>
  <si>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</si>
  <si>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</si>
  <si>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</si>
  <si>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</si>
  <si>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</si>
  <si>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</si>
  <si>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</si>
  <si>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</si>
  <si>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</si>
  <si>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</si>
  <si>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</si>
  <si>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</si>
  <si>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</si>
  <si>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</si>
  <si>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</si>
  <si>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</si>
  <si>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</si>
  <si>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</si>
  <si>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</si>
  <si>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</si>
  <si>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</si>
  <si>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</si>
  <si>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</si>
  <si>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</si>
  <si>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</si>
  <si>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</si>
  <si>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</si>
  <si>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</si>
  <si>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</si>
  <si>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</si>
  <si>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</si>
  <si>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</si>
  <si>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</si>
  <si>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</si>
  <si>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</si>
  <si>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</si>
  <si>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</si>
  <si>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</si>
  <si>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</si>
  <si>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</si>
  <si>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</si>
  <si>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</si>
  <si>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</si>
  <si>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</si>
  <si>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</si>
  <si>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</si>
  <si>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</si>
  <si>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</si>
  <si>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</si>
  <si>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</si>
  <si>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</si>
  <si>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</si>
  <si>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</si>
  <si>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</si>
  <si>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</si>
  <si>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</si>
  <si>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</si>
  <si>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</si>
  <si>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</si>
  <si>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</si>
  <si>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</si>
  <si>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</si>
  <si>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</si>
  <si>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</si>
  <si>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</si>
  <si>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</si>
  <si>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</si>
  <si>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</si>
  <si>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</si>
  <si>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</si>
  <si>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</si>
  <si>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</si>
  <si>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</si>
  <si>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</si>
  <si>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</si>
  <si>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</si>
  <si>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</si>
  <si>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</si>
  <si>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</si>
  <si>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</si>
  <si>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</si>
  <si>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</si>
  <si>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</si>
  <si>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</si>
  <si>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</si>
  <si>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</si>
  <si>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</si>
  <si>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</si>
  <si>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</si>
  <si>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</si>
  <si>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</si>
  <si>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</si>
  <si>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</si>
  <si>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</si>
  <si>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</si>
  <si>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</si>
  <si>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</si>
  <si>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</si>
  <si>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</si>
  <si>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</si>
  <si>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</si>
  <si>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</si>
  <si>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</si>
  <si>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</si>
  <si>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</si>
  <si>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</si>
  <si>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</si>
  <si>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</si>
  <si>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</si>
  <si>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</si>
  <si>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</si>
  <si>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</si>
  <si>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</si>
  <si>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</si>
  <si>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</si>
  <si>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</si>
  <si>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</si>
  <si>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</si>
  <si>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</si>
  <si>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</si>
  <si>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</si>
  <si>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</si>
  <si>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</si>
  <si>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</si>
  <si>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</si>
  <si>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</si>
  <si>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</si>
  <si>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</si>
  <si>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</si>
  <si>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</si>
  <si>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</si>
  <si>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</si>
  <si>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</si>
  <si>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</si>
  <si>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</si>
  <si>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</si>
  <si>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</si>
  <si>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</si>
  <si>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</si>
  <si>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</si>
  <si>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</si>
  <si>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</si>
  <si>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</si>
  <si>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</si>
  <si>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</si>
  <si>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</si>
  <si>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</si>
  <si>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</si>
  <si>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</si>
  <si>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</si>
  <si>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</si>
  <si>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</si>
  <si>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</si>
  <si>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</si>
  <si>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</si>
  <si>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</si>
  <si>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</si>
  <si>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</si>
  <si>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</si>
  <si>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</si>
  <si>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</si>
  <si>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</si>
  <si>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</si>
  <si>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</si>
  <si>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</si>
  <si>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</si>
  <si>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</si>
  <si>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</si>
  <si>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</si>
  <si>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</si>
  <si>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</si>
  <si>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</si>
  <si>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</si>
  <si>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</si>
  <si>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</si>
  <si>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</si>
  <si>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</si>
  <si>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</si>
  <si>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</si>
  <si>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</si>
  <si>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</si>
  <si>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</si>
  <si>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</si>
  <si>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</si>
  <si>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</si>
  <si>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</si>
  <si>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</si>
  <si>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</si>
  <si>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</si>
  <si>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</si>
  <si>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</si>
  <si>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</si>
  <si>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</si>
  <si>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</si>
  <si>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</si>
  <si>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</si>
  <si>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</si>
  <si>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</si>
  <si>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</si>
  <si>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</si>
  <si>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</si>
  <si>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</si>
  <si>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</si>
  <si>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</si>
  <si>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</si>
  <si>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</si>
  <si>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</si>
  <si>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</si>
  <si>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</si>
  <si>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</si>
  <si>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</si>
  <si>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</si>
  <si>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</si>
  <si>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</si>
  <si>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</si>
  <si>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</si>
  <si>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</si>
  <si>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</si>
  <si>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</si>
  <si>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</si>
  <si>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</si>
  <si>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</si>
  <si>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</si>
  <si>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</si>
  <si>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</si>
  <si>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</si>
  <si>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</si>
  <si>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</si>
  <si>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</si>
  <si>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</si>
  <si>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</si>
  <si>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</si>
  <si>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</si>
  <si>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</si>
  <si>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</si>
  <si>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</si>
  <si>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</si>
  <si>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</si>
  <si>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</si>
  <si>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</si>
  <si>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</si>
  <si>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</si>
  <si>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</si>
  <si>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</si>
  <si>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</si>
  <si>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</si>
  <si>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</si>
  <si>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</si>
  <si>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</si>
  <si>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</si>
  <si>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</si>
  <si>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</si>
  <si>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</si>
  <si>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</si>
  <si>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</si>
  <si>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</si>
  <si>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</si>
  <si>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</si>
  <si>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</si>
  <si>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</si>
  <si>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</si>
  <si>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</si>
  <si>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</si>
  <si>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</si>
  <si>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</si>
  <si>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</si>
  <si>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</si>
  <si>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</si>
  <si>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</si>
  <si>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</si>
  <si>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</si>
  <si>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</si>
  <si>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</si>
  <si>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</si>
  <si>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</si>
  <si>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</si>
  <si>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</si>
  <si>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</si>
  <si>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</si>
  <si>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</si>
  <si>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</si>
  <si>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</si>
  <si>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</si>
  <si>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</si>
  <si>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</si>
  <si>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</si>
  <si>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</si>
  <si>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</si>
  <si>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</si>
  <si>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</si>
  <si>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</si>
  <si>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</si>
  <si>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</si>
  <si>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</si>
  <si>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</si>
  <si>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</si>
  <si>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</si>
  <si>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</si>
  <si>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</si>
  <si>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</si>
  <si>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</si>
  <si>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</si>
  <si>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</si>
  <si>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</si>
  <si>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</si>
  <si>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</si>
  <si>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</si>
  <si>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</si>
  <si>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</si>
  <si>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</si>
  <si>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</si>
  <si>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</si>
  <si>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</si>
  <si>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</si>
  <si>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</si>
  <si>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</si>
  <si>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</si>
  <si>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</si>
  <si>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</si>
  <si>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</si>
  <si>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</si>
  <si>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</si>
  <si>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</si>
  <si>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</si>
  <si>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</si>
  <si>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</si>
  <si>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</si>
  <si>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</si>
  <si>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</si>
  <si>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</si>
  <si>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</si>
  <si>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</si>
  <si>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</si>
  <si>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</si>
  <si>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</si>
  <si>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</si>
  <si>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</si>
  <si>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</si>
  <si>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</si>
  <si>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</si>
  <si>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</si>
  <si>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</si>
  <si>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</si>
  <si>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</si>
  <si>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</si>
  <si>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</si>
  <si>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</si>
  <si>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</si>
  <si>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</si>
  <si>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</si>
  <si>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</si>
  <si>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</si>
  <si>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</si>
  <si>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</si>
  <si>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</si>
  <si>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</si>
  <si>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</si>
  <si>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</si>
  <si>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</si>
  <si>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</si>
  <si>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</si>
  <si>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</si>
  <si>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</si>
  <si>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</si>
  <si>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</si>
  <si>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</si>
  <si>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</si>
  <si>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</si>
  <si>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</si>
  <si>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</si>
  <si>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</si>
  <si>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</si>
  <si>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</si>
  <si>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</si>
  <si>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</si>
  <si>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</si>
  <si>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</si>
  <si>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</si>
  <si>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</si>
  <si>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</si>
  <si>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</si>
  <si>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</si>
  <si>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</si>
  <si>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</si>
  <si>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</si>
  <si>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</si>
  <si>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</si>
  <si>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</si>
  <si>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</si>
  <si>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</si>
  <si>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</si>
  <si>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</si>
  <si>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</si>
  <si>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</si>
  <si>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</si>
  <si>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</si>
  <si>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</si>
  <si>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</si>
  <si>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</si>
  <si>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</si>
  <si>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</si>
  <si>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</si>
  <si>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</si>
  <si>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</si>
  <si>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</si>
  <si>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</si>
  <si>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</si>
  <si>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</si>
  <si>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</si>
  <si>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</si>
  <si>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</si>
  <si>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</si>
  <si>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</si>
  <si>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</si>
  <si>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</si>
  <si>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</si>
  <si>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</si>
  <si>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</si>
  <si>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</si>
  <si>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</si>
  <si>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</si>
  <si>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</si>
  <si>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</si>
  <si>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</si>
  <si>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</si>
  <si>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</si>
  <si>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</si>
  <si>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</si>
  <si>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</si>
  <si>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</si>
  <si>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</si>
  <si>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</si>
  <si>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</si>
  <si>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</si>
  <si>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</si>
  <si>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</si>
  <si>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</si>
  <si>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</si>
  <si>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</si>
  <si>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</si>
  <si>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</si>
  <si>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</si>
  <si>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</si>
  <si>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</si>
  <si>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</si>
  <si>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</si>
  <si>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</si>
  <si>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</si>
  <si>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</si>
  <si>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</si>
  <si>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</si>
  <si>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</si>
  <si>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</si>
  <si>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</si>
  <si>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</si>
  <si>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</si>
  <si>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</si>
  <si>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</si>
  <si>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</si>
  <si>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</si>
  <si>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</si>
  <si>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</si>
  <si>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</si>
  <si>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</si>
  <si>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</si>
  <si>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</si>
  <si>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</si>
  <si>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</si>
  <si>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</si>
  <si>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</si>
  <si>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</si>
  <si>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</si>
  <si>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</si>
  <si>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</si>
  <si>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</si>
  <si>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</si>
  <si>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</si>
  <si>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</si>
  <si>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</si>
  <si>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</si>
  <si>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</si>
  <si>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</si>
  <si>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</si>
  <si>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</si>
  <si>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</si>
  <si>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</si>
  <si>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</si>
  <si>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</si>
  <si>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</si>
  <si>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</si>
  <si>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</si>
  <si>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</si>
  <si>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</si>
  <si>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</si>
  <si>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</si>
  <si>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</si>
  <si>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</si>
  <si>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</si>
  <si>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</si>
  <si>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</si>
  <si>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</si>
  <si>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</si>
  <si>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</si>
  <si>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</si>
  <si>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</si>
  <si>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</si>
  <si>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</si>
  <si>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</si>
  <si>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</si>
  <si>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</si>
  <si>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</si>
  <si>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</si>
  <si>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</si>
  <si>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</si>
  <si>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</si>
  <si>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</si>
  <si>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</si>
  <si>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</si>
  <si>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</si>
  <si>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</si>
  <si>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</si>
  <si>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</si>
  <si>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</si>
  <si>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</si>
  <si>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</si>
  <si>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</si>
  <si>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</si>
  <si>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</si>
  <si>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</si>
  <si>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</si>
  <si>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</si>
  <si>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</si>
  <si>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</si>
  <si>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</si>
  <si>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</si>
  <si>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</si>
  <si>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</si>
  <si>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</si>
  <si>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</si>
  <si>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</si>
  <si>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</si>
  <si>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</si>
  <si>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</si>
  <si>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</si>
  <si>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</si>
  <si>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</si>
  <si>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</si>
  <si>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</si>
  <si>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</si>
  <si>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</si>
  <si>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</si>
  <si>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</si>
  <si>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</si>
  <si>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</si>
  <si>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</si>
  <si>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</si>
  <si>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</si>
  <si>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</si>
  <si>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</si>
  <si>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</si>
  <si>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</si>
  <si>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</si>
  <si>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</si>
  <si>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</si>
  <si>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</si>
  <si>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</si>
  <si>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</si>
  <si>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</si>
  <si>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</si>
  <si>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</si>
  <si>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</si>
  <si>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</si>
  <si>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</si>
  <si>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</si>
  <si>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</si>
  <si>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</si>
  <si>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</si>
  <si>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</si>
  <si>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</si>
  <si>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</si>
  <si>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</si>
  <si>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</si>
  <si>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</si>
  <si>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</si>
  <si>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</si>
  <si>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</si>
  <si>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</si>
  <si>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</si>
  <si>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</si>
  <si>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</si>
  <si>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</si>
  <si>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</si>
  <si>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</si>
  <si>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</si>
  <si>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</si>
  <si>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</si>
  <si>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</si>
  <si>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</si>
  <si>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</si>
  <si>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</si>
  <si>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</si>
  <si>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</si>
  <si>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</si>
  <si>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</si>
  <si>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</si>
  <si>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</si>
  <si>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</si>
  <si>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</si>
  <si>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</si>
  <si>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</si>
  <si>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</si>
  <si>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</si>
  <si>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</si>
  <si>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</si>
  <si>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</si>
  <si>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</si>
  <si>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</si>
  <si>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</si>
  <si>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</si>
  <si>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</si>
  <si>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</si>
  <si>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</si>
  <si>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</si>
  <si>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</si>
  <si>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</si>
  <si>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</si>
  <si>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</si>
  <si>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</si>
  <si>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</si>
  <si>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</si>
  <si>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</si>
  <si>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</si>
  <si>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</si>
  <si>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</si>
  <si>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</si>
  <si>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</si>
  <si>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</si>
  <si>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</si>
  <si>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</si>
  <si>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</si>
  <si>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</si>
  <si>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</si>
  <si>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</si>
  <si>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</si>
  <si>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</si>
  <si>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</si>
  <si>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</si>
  <si>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</si>
  <si>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</si>
  <si>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</si>
  <si>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</si>
  <si>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</si>
  <si>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</si>
  <si>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</si>
  <si>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</si>
  <si>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</si>
  <si>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</si>
  <si>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</si>
  <si>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</si>
  <si>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</si>
  <si>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</si>
  <si>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</si>
  <si>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</si>
  <si>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</si>
  <si>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</si>
  <si>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</si>
  <si>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</si>
  <si>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</si>
  <si>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</si>
  <si>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</si>
  <si>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</si>
  <si>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</si>
  <si>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</si>
  <si>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</si>
  <si>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</si>
  <si>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</si>
  <si>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</si>
  <si>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</si>
  <si>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</si>
  <si>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</si>
  <si>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</si>
  <si>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</si>
  <si>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</si>
  <si>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</si>
  <si>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</si>
  <si>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</si>
  <si>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</si>
  <si>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</si>
  <si>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</si>
  <si>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</si>
  <si>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</si>
  <si>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</si>
  <si>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</si>
  <si>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</si>
  <si>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</si>
  <si>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</si>
  <si>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</si>
  <si>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</si>
  <si>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</si>
  <si>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</si>
  <si>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</si>
  <si>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</si>
  <si>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</si>
  <si>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</si>
  <si>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</si>
  <si>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</si>
  <si>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</si>
  <si>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</si>
  <si>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</si>
  <si>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</si>
  <si>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</si>
  <si>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</si>
  <si>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</si>
  <si>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</si>
  <si>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</si>
  <si>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</si>
  <si>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</si>
  <si>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</si>
  <si>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</si>
  <si>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</si>
  <si>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</si>
  <si>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</si>
  <si>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</si>
  <si>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</si>
  <si>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</si>
  <si>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</si>
  <si>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</si>
  <si>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</si>
  <si>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</si>
  <si>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</si>
  <si>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</si>
  <si>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</si>
  <si>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</si>
  <si>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</si>
  <si>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</si>
  <si>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</si>
  <si>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</si>
  <si>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</si>
  <si>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</si>
  <si>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</si>
  <si>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</si>
  <si>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</si>
  <si>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</si>
  <si>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</si>
  <si>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</si>
  <si>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</si>
  <si>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</si>
  <si>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</si>
  <si>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</si>
  <si>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</si>
  <si>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</si>
  <si>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</si>
  <si>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</si>
  <si>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</si>
  <si>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</si>
  <si>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</si>
  <si>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</si>
  <si>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</si>
  <si>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</si>
  <si>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</si>
  <si>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</si>
  <si>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</si>
  <si>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</si>
  <si>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</si>
  <si>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</si>
  <si>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</si>
  <si>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</si>
  <si>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</si>
  <si>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</si>
  <si>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</si>
  <si>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</si>
  <si>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</si>
  <si>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</si>
  <si>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</si>
  <si>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</si>
  <si>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</si>
  <si>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</si>
  <si>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</si>
  <si>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</si>
  <si>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</si>
  <si>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</si>
  <si>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</si>
  <si>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</si>
  <si>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</si>
  <si>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</si>
  <si>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</si>
  <si>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</si>
  <si>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</si>
  <si>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</si>
  <si>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</si>
  <si>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</si>
  <si>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</si>
  <si>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</si>
  <si>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</si>
  <si>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</si>
  <si>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</si>
  <si>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</si>
  <si>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</si>
  <si>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</si>
  <si>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</si>
  <si>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</si>
  <si>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</si>
  <si>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</si>
  <si>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</si>
  <si>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</si>
  <si>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</si>
  <si>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</si>
  <si>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</si>
  <si>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</si>
  <si>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</si>
  <si>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</si>
  <si>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</si>
  <si>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</si>
  <si>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</si>
  <si>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</si>
  <si>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</si>
  <si>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</si>
  <si>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</si>
  <si>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</si>
  <si>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</si>
  <si>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</si>
  <si>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</si>
  <si>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</si>
  <si>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</si>
  <si>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</si>
  <si>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</si>
  <si>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</si>
  <si>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</si>
  <si>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</si>
  <si>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</si>
  <si>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</si>
  <si>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</si>
  <si>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</si>
  <si>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</si>
  <si>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</si>
  <si>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</si>
  <si>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</si>
  <si>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</si>
  <si>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</si>
  <si>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</si>
  <si>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</si>
  <si>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</si>
  <si>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</si>
  <si>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</si>
  <si>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</si>
  <si>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</si>
  <si>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</si>
  <si>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</si>
  <si>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</si>
  <si>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</si>
  <si>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</si>
  <si>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</si>
  <si>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</si>
  <si>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</si>
  <si>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</si>
  <si>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</si>
  <si>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</si>
  <si>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</si>
  <si>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</si>
  <si>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</si>
  <si>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</si>
  <si>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</si>
  <si>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</si>
  <si>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</si>
  <si>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</si>
  <si>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</si>
  <si>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</si>
  <si>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</si>
  <si>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</si>
  <si>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</si>
  <si>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</si>
  <si>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</si>
  <si>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</si>
  <si>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</si>
  <si>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</si>
  <si>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</si>
  <si>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</si>
  <si>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</si>
  <si>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</si>
  <si>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</si>
  <si>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</si>
  <si>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</si>
  <si>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</si>
  <si>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</si>
  <si>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</si>
  <si>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</si>
  <si>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</si>
  <si>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</si>
  <si>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</si>
  <si>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</si>
  <si>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</si>
  <si>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</si>
  <si>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</si>
  <si>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</si>
  <si>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</si>
  <si>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</si>
  <si>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</si>
  <si>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</si>
  <si>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</si>
  <si>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</si>
  <si>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</si>
  <si>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</si>
  <si>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</si>
  <si>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</si>
  <si>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</si>
  <si>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</si>
  <si>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</si>
  <si>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</si>
  <si>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</si>
  <si>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</si>
  <si>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</si>
  <si>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</si>
  <si>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</si>
  <si>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</si>
  <si>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</si>
  <si>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</si>
  <si>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</si>
  <si>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</si>
  <si>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</si>
  <si>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</si>
  <si>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</si>
  <si>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</si>
  <si>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</si>
  <si>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</si>
  <si>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</si>
  <si>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</si>
  <si>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</si>
  <si>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</si>
  <si>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</si>
  <si>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</si>
  <si>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</si>
  <si>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</si>
  <si>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</si>
  <si>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</si>
  <si>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</si>
  <si>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</si>
  <si>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</si>
  <si>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</si>
  <si>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</si>
  <si>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</si>
  <si>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</si>
  <si>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</si>
  <si>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</si>
  <si>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</si>
  <si>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</si>
  <si>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</si>
  <si>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</si>
  <si>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</si>
  <si>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</si>
  <si>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</si>
  <si>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</si>
  <si>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</si>
  <si>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</si>
  <si>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</si>
  <si>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</si>
  <si>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</si>
  <si>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</si>
  <si>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</si>
  <si>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</si>
  <si>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</si>
  <si>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</si>
  <si>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</si>
  <si>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</si>
  <si>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</si>
  <si>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</si>
  <si>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</si>
  <si>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</si>
  <si>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</si>
  <si>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</si>
  <si>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</si>
  <si>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</si>
  <si>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</si>
  <si>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</si>
  <si>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</si>
  <si>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</si>
  <si>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</si>
  <si>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</si>
  <si>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</si>
  <si>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</si>
  <si>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</si>
  <si>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</si>
  <si>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</si>
  <si>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</si>
  <si>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</si>
  <si>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</si>
  <si>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</si>
  <si>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</si>
  <si>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</si>
  <si>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</si>
  <si>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</si>
  <si>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</si>
  <si>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</si>
  <si>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</si>
  <si>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</si>
  <si>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</si>
  <si>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</si>
  <si>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</si>
  <si>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</si>
  <si>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</si>
  <si>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</si>
  <si>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</si>
  <si>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</si>
  <si>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</si>
  <si>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</si>
  <si>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</si>
  <si>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</si>
  <si>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</si>
  <si>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</si>
  <si>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</si>
  <si>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</si>
  <si>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</si>
  <si>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</si>
  <si>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</si>
  <si>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</si>
  <si>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</si>
  <si>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</si>
  <si>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</si>
  <si>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</si>
  <si>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</si>
  <si>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</si>
  <si>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</si>
  <si>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</si>
  <si>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</si>
  <si>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</si>
  <si>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</si>
  <si>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</si>
  <si>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</si>
  <si>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</si>
  <si>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</si>
  <si>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</si>
  <si>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</si>
  <si>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</si>
  <si>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</si>
  <si>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</si>
  <si>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</si>
  <si>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</si>
  <si>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</si>
  <si>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</si>
  <si>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</si>
  <si>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</si>
  <si>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</si>
  <si>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</si>
  <si>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</si>
  <si>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</si>
  <si>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</si>
  <si>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</si>
  <si>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</si>
  <si>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</si>
  <si>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</si>
  <si>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</si>
  <si>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</si>
  <si>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</si>
  <si>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</si>
  <si>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</si>
  <si>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</si>
  <si>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</si>
  <si>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</si>
  <si>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</si>
  <si>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</si>
  <si>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</si>
  <si>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</si>
  <si>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</si>
  <si>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</si>
  <si>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</si>
  <si>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</si>
  <si>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</si>
  <si>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</si>
  <si>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</si>
  <si>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</si>
  <si>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</si>
  <si>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</si>
  <si>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</si>
  <si>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</si>
  <si>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</si>
  <si>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</si>
  <si>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</si>
  <si>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</si>
  <si>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</si>
  <si>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</si>
  <si>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</si>
  <si>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</si>
  <si>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</si>
  <si>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</si>
  <si>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</si>
  <si>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</si>
  <si>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</si>
  <si>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</si>
  <si>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</si>
  <si>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</si>
  <si>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</si>
  <si>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</si>
  <si>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</si>
  <si>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</si>
  <si>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</si>
  <si>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</si>
  <si>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</si>
  <si>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</si>
  <si>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</si>
  <si>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</si>
  <si>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</si>
  <si>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</si>
  <si>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</si>
  <si>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</si>
  <si>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</si>
  <si>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</si>
  <si>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</si>
  <si>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</si>
  <si>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</si>
  <si>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</si>
  <si>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</si>
  <si>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</si>
  <si>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</si>
  <si>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</si>
  <si>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</si>
  <si>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</si>
  <si>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</si>
  <si>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</si>
  <si>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</si>
  <si>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</si>
  <si>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</si>
  <si>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</si>
  <si>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</si>
  <si>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</si>
  <si>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</si>
  <si>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</si>
  <si>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</si>
  <si>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</si>
  <si>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</si>
  <si>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</si>
  <si>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</si>
  <si>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</si>
  <si>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</si>
  <si>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</si>
  <si>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</si>
  <si>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</si>
  <si>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</si>
  <si>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</si>
  <si>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</si>
  <si>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</si>
  <si>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</si>
  <si>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</si>
  <si>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</si>
  <si>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</si>
  <si>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</si>
  <si>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</si>
  <si>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</si>
  <si>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</si>
  <si>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</si>
  <si>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</si>
  <si>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</si>
  <si>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</si>
  <si>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</si>
  <si>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</si>
  <si>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</si>
  <si>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</si>
  <si>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</si>
  <si>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</si>
  <si>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</si>
  <si>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</si>
  <si>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</si>
  <si>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</si>
  <si>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</si>
  <si>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</si>
  <si>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</si>
  <si>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</si>
  <si>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</si>
  <si>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</si>
  <si>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</si>
  <si>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</si>
  <si>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</si>
  <si>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</si>
  <si>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</si>
  <si>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</si>
  <si>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</si>
  <si>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</si>
  <si>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</si>
  <si>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</si>
  <si>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</si>
  <si>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</si>
  <si>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</si>
  <si>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</si>
  <si>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</si>
  <si>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</si>
  <si>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</si>
  <si>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</si>
  <si>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</si>
  <si>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</si>
  <si>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</si>
  <si>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</si>
  <si>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</si>
  <si>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</si>
  <si>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</si>
  <si>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</si>
  <si>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</si>
  <si>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</si>
  <si>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</si>
  <si>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</si>
  <si>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</si>
  <si>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</si>
  <si>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</si>
  <si>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</si>
  <si>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</si>
  <si>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</si>
  <si>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</si>
  <si>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</si>
  <si>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</si>
  <si>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</si>
  <si>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</si>
  <si>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</si>
  <si>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</si>
  <si>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</si>
  <si>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</si>
  <si>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</si>
  <si>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</si>
  <si>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</si>
  <si>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</si>
  <si>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</si>
  <si>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</si>
  <si>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</si>
  <si>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</si>
  <si>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</si>
  <si>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</si>
  <si>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</si>
  <si>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</si>
  <si>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</si>
  <si>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</si>
  <si>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</si>
  <si>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</si>
  <si>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</si>
  <si>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</si>
  <si>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</si>
  <si>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</si>
  <si>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</si>
  <si>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</si>
  <si>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</si>
  <si>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</si>
  <si>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</si>
  <si>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</si>
  <si>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</si>
  <si>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</si>
  <si>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</si>
  <si>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</si>
  <si>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</si>
  <si>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</si>
  <si>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</si>
  <si>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</si>
  <si>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</si>
  <si>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</si>
  <si>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</si>
  <si>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</si>
  <si>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</si>
  <si>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</si>
  <si>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</si>
  <si>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</si>
  <si>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</si>
  <si>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</si>
  <si>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</si>
  <si>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</si>
  <si>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</si>
  <si>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</si>
  <si>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</si>
  <si>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</si>
  <si>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</si>
  <si>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</si>
  <si>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</si>
  <si>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</si>
  <si>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</si>
  <si>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</si>
  <si>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</si>
  <si>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</si>
  <si>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</si>
  <si>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</si>
  <si>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</si>
  <si>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</si>
  <si>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</si>
  <si>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</si>
  <si>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</si>
  <si>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</si>
  <si>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</si>
  <si>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</si>
  <si>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</si>
  <si>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</si>
  <si>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</si>
  <si>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</si>
  <si>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</si>
  <si>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</si>
  <si>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</si>
  <si>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</si>
  <si>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</si>
  <si>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</si>
  <si>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</si>
  <si>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</si>
  <si>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</si>
  <si>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</si>
  <si>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</si>
  <si>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</si>
  <si>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</si>
  <si>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</si>
  <si>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</si>
  <si>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</si>
  <si>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</si>
  <si>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</si>
  <si>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</si>
  <si>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</si>
  <si>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</si>
  <si>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</si>
  <si>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</si>
  <si>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</si>
  <si>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</si>
  <si>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</si>
  <si>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</si>
  <si>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</si>
  <si>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</si>
  <si>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</si>
  <si>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</si>
  <si>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</si>
  <si>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</si>
  <si>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</si>
  <si>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</si>
  <si>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</si>
  <si>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</si>
  <si>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</si>
  <si>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</si>
  <si>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</si>
  <si>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</si>
  <si>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</si>
  <si>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</si>
  <si>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</si>
  <si>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</si>
  <si>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</si>
  <si>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</si>
  <si>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</si>
  <si>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</si>
  <si>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</si>
  <si>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</si>
  <si>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</si>
  <si>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</si>
  <si>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</si>
  <si>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</si>
  <si>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</si>
  <si>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</si>
  <si>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</si>
  <si>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</si>
  <si>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</si>
  <si>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</si>
  <si>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</si>
  <si>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</si>
  <si>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</si>
  <si>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</si>
  <si>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</si>
  <si>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</si>
  <si>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</si>
  <si>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</si>
  <si>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</si>
  <si>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</si>
  <si>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</si>
  <si>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</si>
  <si>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</si>
  <si>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</si>
  <si>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</si>
  <si>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</si>
  <si>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</si>
  <si>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</si>
  <si>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</si>
  <si>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</si>
  <si>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</si>
  <si>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</si>
  <si>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</si>
  <si>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</si>
  <si>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</si>
  <si>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</si>
  <si>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</si>
  <si>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</si>
  <si>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</si>
  <si>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</si>
  <si>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</si>
  <si>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</si>
  <si>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</si>
  <si>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</si>
  <si>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</si>
  <si>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</si>
  <si>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</si>
  <si>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</si>
  <si>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</si>
  <si>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</si>
  <si>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</si>
  <si>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</si>
  <si>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</si>
  <si>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</si>
  <si>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</si>
  <si>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</si>
  <si>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</si>
  <si>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</si>
  <si>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</si>
  <si>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</si>
  <si>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</si>
  <si>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</si>
  <si>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</si>
  <si>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</si>
  <si>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</si>
  <si>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</si>
  <si>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</si>
  <si>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</si>
  <si>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</si>
  <si>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</si>
  <si>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</si>
  <si>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</si>
  <si>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</si>
  <si>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</si>
  <si>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</si>
  <si>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</si>
  <si>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</si>
  <si>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</si>
  <si>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</si>
  <si>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</si>
  <si>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</si>
  <si>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</si>
  <si>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</si>
  <si>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</si>
  <si>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</si>
  <si>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</si>
  <si>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</si>
  <si>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</si>
  <si>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</si>
  <si>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</si>
  <si>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</si>
  <si>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</si>
  <si>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</si>
  <si>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</si>
  <si>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</si>
  <si>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</si>
  <si>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</si>
  <si>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</si>
  <si>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</si>
  <si>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</si>
  <si>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</si>
  <si>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</si>
  <si>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</si>
  <si>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</si>
  <si>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</si>
  <si>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</si>
  <si>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</si>
  <si>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</si>
  <si>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</si>
  <si>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</si>
  <si>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</si>
  <si>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</si>
  <si>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</si>
  <si>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</si>
  <si>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</si>
  <si>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</si>
  <si>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</si>
  <si>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</si>
  <si>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</si>
  <si>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</si>
  <si>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</si>
  <si>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</si>
  <si>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</si>
  <si>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</si>
  <si>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</si>
  <si>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</si>
  <si>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</si>
  <si>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</si>
  <si>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</si>
  <si>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</si>
  <si>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</si>
  <si>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</si>
  <si>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</si>
  <si>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</si>
  <si>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</si>
  <si>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</si>
  <si>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</si>
  <si>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</si>
  <si>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</si>
  <si>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</si>
  <si>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</si>
  <si>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</si>
  <si>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</si>
  <si>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</si>
  <si>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</si>
  <si>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</si>
  <si>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</si>
  <si>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</si>
  <si>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</si>
  <si>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</si>
  <si>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</si>
  <si>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</si>
  <si>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</si>
  <si>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</si>
  <si>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</si>
  <si>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</si>
  <si>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</si>
  <si>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</si>
  <si>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</si>
  <si>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</si>
  <si>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</si>
  <si>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</si>
  <si>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</si>
  <si>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</si>
  <si>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</si>
  <si>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</si>
  <si>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</si>
  <si>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</si>
  <si>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</si>
  <si>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</si>
  <si>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</si>
  <si>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</si>
  <si>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</si>
  <si>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</si>
  <si>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</si>
  <si>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</si>
  <si>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</si>
  <si>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</si>
  <si>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</si>
  <si>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</si>
  <si>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</si>
  <si>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</si>
  <si>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</si>
  <si>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</si>
  <si>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</si>
  <si>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</si>
  <si>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</si>
  <si>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</si>
  <si>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</si>
  <si>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</si>
  <si>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</si>
  <si>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</si>
  <si>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</si>
  <si>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</si>
  <si>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</si>
  <si>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</si>
  <si>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</si>
  <si>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</si>
  <si>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</si>
  <si>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</si>
  <si>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</si>
  <si>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</si>
  <si>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</si>
  <si>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</si>
  <si>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</si>
  <si>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</si>
  <si>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</si>
  <si>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</si>
  <si>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</si>
  <si>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</si>
  <si>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</si>
  <si>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</si>
  <si>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</si>
  <si>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</si>
  <si>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</si>
  <si>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</si>
  <si>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</si>
  <si>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</si>
  <si>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</si>
  <si>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</si>
  <si>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</si>
  <si>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</si>
  <si>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</si>
  <si>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</si>
  <si>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</si>
  <si>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</si>
  <si>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</si>
  <si>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</si>
  <si>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</si>
  <si>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</si>
  <si>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</si>
  <si>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</si>
  <si>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</si>
  <si>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</si>
  <si>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</si>
  <si>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</si>
  <si>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</si>
  <si>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</si>
  <si>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</si>
  <si>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</si>
  <si>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</si>
  <si>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</si>
  <si>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</si>
  <si>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</si>
  <si>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</si>
  <si>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</si>
  <si>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</si>
  <si>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</si>
  <si>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</si>
  <si>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</si>
  <si>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</si>
  <si>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</si>
  <si>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</si>
  <si>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</si>
  <si>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</si>
  <si>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</si>
  <si>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</si>
  <si>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</si>
  <si>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</si>
  <si>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</si>
  <si>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</si>
  <si>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</si>
  <si>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</si>
  <si>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</si>
  <si>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</si>
  <si>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</si>
  <si>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</si>
  <si>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</si>
  <si>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</si>
  <si>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</si>
  <si>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</si>
  <si>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</si>
  <si>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</si>
  <si>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</si>
  <si>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</si>
  <si>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</si>
  <si>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</si>
  <si>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</si>
  <si>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</si>
  <si>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</si>
  <si>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</si>
  <si>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</si>
  <si>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</si>
  <si>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</si>
  <si>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</si>
  <si>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</si>
  <si>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</si>
  <si>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</si>
  <si>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</si>
  <si>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</si>
  <si>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</si>
  <si>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</si>
  <si>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</si>
  <si>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</si>
  <si>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</si>
  <si>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</si>
  <si>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</si>
  <si>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</si>
  <si>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</si>
  <si>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</si>
  <si>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</si>
  <si>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</si>
  <si>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</si>
  <si>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</si>
  <si>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</si>
  <si>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</si>
  <si>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</si>
  <si>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</si>
  <si>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</si>
  <si>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</si>
  <si>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</si>
  <si>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</si>
  <si>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</si>
  <si>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</si>
  <si>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</si>
  <si>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</si>
  <si>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</si>
  <si>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</si>
  <si>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</si>
  <si>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</si>
  <si>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</si>
  <si>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</si>
  <si>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</si>
  <si>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</si>
  <si>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</si>
  <si>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</si>
  <si>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</si>
  <si>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</si>
  <si>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</si>
  <si>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</si>
  <si>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</si>
  <si>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</si>
  <si>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</si>
  <si>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</si>
  <si>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</si>
  <si>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</si>
  <si>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</si>
  <si>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</si>
  <si>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</si>
  <si>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</si>
  <si>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</si>
  <si>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</si>
  <si>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</si>
  <si>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</si>
  <si>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</si>
  <si>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</si>
  <si>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</si>
  <si>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</si>
  <si>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</si>
  <si>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</si>
  <si>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</si>
  <si>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</si>
  <si>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</si>
  <si>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</si>
  <si>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</si>
  <si>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</si>
  <si>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</si>
  <si>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</si>
  <si>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</si>
  <si>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</si>
  <si>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</si>
  <si>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</si>
  <si>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</si>
  <si>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</si>
  <si>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</si>
  <si>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</si>
  <si>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</si>
  <si>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</si>
  <si>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</si>
  <si>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</si>
  <si>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</si>
  <si>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</si>
  <si>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</si>
  <si>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</si>
  <si>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</si>
  <si>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</si>
  <si>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</si>
  <si>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</si>
  <si>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</si>
  <si>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</si>
  <si>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</si>
  <si>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</si>
  <si>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</si>
  <si>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</si>
  <si>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</si>
  <si>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</si>
  <si>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</si>
  <si>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</si>
  <si>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</si>
  <si>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</si>
  <si>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</si>
  <si>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</si>
  <si>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</si>
  <si>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</si>
  <si>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</si>
  <si>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</si>
  <si>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</si>
  <si>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</si>
  <si>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</si>
  <si>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</si>
  <si>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</si>
  <si>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</si>
  <si>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</si>
  <si>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</si>
  <si>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</si>
  <si>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</si>
  <si>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</si>
  <si>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</si>
  <si>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</si>
  <si>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</si>
  <si>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</si>
  <si>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</si>
  <si>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</si>
  <si>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</si>
  <si>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</si>
  <si>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</si>
  <si>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</si>
  <si>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</si>
  <si>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</si>
  <si>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</si>
  <si>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</si>
  <si>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</si>
  <si>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</si>
  <si>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</si>
  <si>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</si>
  <si>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</si>
  <si>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</si>
  <si>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</si>
  <si>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</si>
  <si>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</si>
  <si>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</si>
  <si>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</si>
  <si>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</si>
  <si>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</si>
  <si>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</si>
  <si>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</si>
  <si>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</si>
  <si>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</si>
  <si>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</si>
  <si>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</si>
  <si>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</si>
  <si>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</si>
  <si>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</si>
  <si>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</si>
  <si>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</si>
  <si>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</si>
  <si>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</si>
  <si>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</si>
  <si>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</si>
  <si>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</si>
  <si>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</si>
  <si>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</si>
  <si>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</si>
  <si>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</si>
  <si>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</si>
  <si>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</si>
  <si>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</si>
  <si>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</si>
  <si>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</si>
  <si>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</si>
  <si>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</si>
  <si>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</si>
  <si>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</si>
  <si>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</si>
  <si>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</si>
  <si>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</si>
  <si>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</si>
  <si>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</si>
  <si>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</si>
  <si>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</si>
  <si>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</si>
  <si>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</si>
  <si>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</si>
  <si>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</si>
  <si>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</si>
  <si>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</si>
  <si>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</si>
  <si>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</si>
  <si>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</si>
  <si>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</si>
  <si>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</si>
  <si>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</si>
  <si>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</si>
  <si>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</si>
  <si>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</si>
  <si>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</si>
  <si>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</si>
  <si>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</si>
  <si>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</si>
  <si>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</si>
  <si>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</si>
  <si>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</si>
  <si>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</si>
  <si>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</si>
  <si>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</si>
  <si>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</si>
  <si>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</si>
  <si>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</si>
  <si>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</si>
  <si>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</si>
  <si>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</si>
  <si>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</si>
  <si>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</si>
  <si>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</si>
  <si>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</si>
  <si>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</si>
  <si>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</si>
  <si>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</si>
  <si>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</si>
  <si>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</si>
  <si>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</si>
  <si>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</si>
  <si>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</si>
  <si>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</si>
  <si>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</si>
  <si>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</si>
  <si>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</si>
  <si>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</si>
  <si>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</si>
  <si>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</si>
  <si>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</si>
  <si>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</si>
  <si>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</si>
  <si>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</si>
  <si>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</si>
  <si>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</si>
  <si>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</si>
  <si>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</si>
  <si>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</si>
  <si>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</si>
  <si>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</si>
  <si>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</si>
  <si>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</si>
  <si>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</si>
  <si>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</si>
  <si>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</si>
  <si>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</si>
  <si>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</si>
  <si>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</si>
  <si>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</si>
  <si>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</si>
  <si>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</si>
  <si>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</si>
  <si>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</si>
  <si>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</si>
  <si>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</si>
  <si>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</si>
  <si>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</si>
  <si>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</si>
  <si>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</si>
  <si>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</si>
  <si>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</si>
  <si>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</si>
  <si>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</si>
  <si>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</si>
  <si>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</si>
  <si>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</si>
  <si>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</si>
  <si>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</si>
  <si>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</si>
  <si>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</si>
  <si>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</si>
  <si>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</si>
  <si>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</si>
  <si>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</si>
  <si>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</si>
  <si>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</si>
  <si>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</si>
  <si>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</si>
  <si>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</si>
  <si>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</si>
  <si>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</si>
  <si>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</si>
  <si>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</si>
  <si>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</si>
  <si>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</si>
  <si>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</si>
  <si>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</si>
  <si>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</si>
  <si>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</si>
  <si>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</si>
  <si>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</si>
  <si>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</si>
  <si>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</si>
  <si>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</si>
  <si>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</si>
  <si>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</si>
  <si>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</si>
  <si>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</si>
  <si>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</si>
  <si>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</si>
  <si>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</si>
  <si>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</si>
  <si>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</si>
  <si>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</si>
  <si>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</si>
  <si>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</si>
  <si>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</si>
  <si>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</si>
  <si>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</si>
  <si>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</si>
  <si>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</si>
  <si>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</si>
  <si>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</si>
  <si>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</si>
  <si>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</si>
  <si>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</si>
  <si>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</si>
  <si>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</si>
  <si>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</si>
  <si>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</si>
  <si>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</si>
  <si>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</si>
  <si>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</si>
  <si>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</si>
  <si>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</si>
  <si>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</si>
  <si>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</si>
  <si>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</si>
  <si>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</si>
  <si>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</si>
  <si>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</si>
  <si>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</si>
  <si>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</si>
  <si>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</si>
  <si>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</si>
  <si>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</si>
  <si>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</si>
  <si>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</si>
  <si>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</si>
  <si>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</si>
  <si>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</si>
  <si>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</si>
  <si>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</si>
  <si>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</si>
  <si>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</si>
  <si>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</si>
  <si>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</si>
  <si>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</si>
  <si>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</si>
  <si>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</si>
  <si>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</si>
  <si>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</si>
  <si>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</si>
  <si>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</si>
  <si>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</si>
  <si>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</si>
  <si>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</si>
  <si>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</si>
  <si>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</si>
  <si>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</si>
  <si>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</si>
  <si>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</si>
  <si>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</si>
  <si>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</si>
  <si>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</si>
  <si>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</si>
  <si>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</si>
  <si>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</si>
  <si>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</si>
  <si>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</si>
  <si>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</si>
  <si>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</si>
  <si>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</si>
  <si>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</si>
  <si>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</si>
  <si>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</si>
  <si>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</si>
  <si>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</si>
  <si>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</si>
  <si>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</si>
  <si>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</si>
  <si>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</si>
  <si>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</si>
  <si>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</si>
  <si>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</si>
  <si>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</si>
  <si>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</si>
  <si>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</si>
  <si>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</si>
  <si>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</si>
  <si>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</si>
  <si>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</si>
  <si>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</si>
  <si>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</si>
  <si>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</si>
  <si>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</si>
  <si>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</si>
  <si>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</si>
  <si>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</si>
  <si>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</si>
  <si>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</si>
  <si>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</si>
  <si>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</si>
  <si>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</si>
  <si>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</si>
  <si>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</si>
  <si>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</si>
  <si>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</si>
  <si>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</si>
  <si>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</si>
  <si>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</si>
  <si>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</si>
  <si>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</si>
  <si>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</si>
  <si>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</si>
  <si>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</si>
  <si>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</si>
  <si>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</si>
  <si>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</si>
  <si>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</si>
  <si>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</si>
  <si>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</si>
  <si>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</si>
  <si>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</si>
  <si>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</si>
  <si>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</si>
  <si>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</si>
  <si>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</si>
  <si>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</si>
  <si>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</si>
  <si>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</si>
  <si>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</si>
  <si>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</si>
  <si>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</si>
  <si>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</si>
  <si>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</si>
  <si>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</si>
  <si>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</si>
  <si>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</si>
  <si>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</si>
  <si>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</si>
  <si>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</si>
  <si>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</si>
  <si>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</si>
  <si>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</si>
  <si>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</si>
  <si>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</si>
  <si>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</si>
  <si>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</si>
  <si>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</si>
  <si>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</si>
  <si>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</si>
  <si>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</si>
  <si>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</si>
  <si>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</si>
  <si>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</si>
  <si>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</si>
  <si>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</si>
  <si>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</si>
  <si>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</si>
  <si>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</si>
  <si>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</si>
  <si>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</si>
  <si>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</si>
  <si>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</si>
  <si>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</si>
  <si>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</si>
  <si>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</si>
  <si>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</si>
  <si>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</si>
  <si>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</si>
  <si>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</si>
  <si>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</si>
  <si>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</si>
  <si>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</si>
  <si>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</si>
  <si>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</si>
  <si>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</si>
  <si>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</si>
  <si>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</si>
  <si>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</si>
  <si>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</si>
  <si>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</si>
  <si>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</si>
  <si>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</si>
  <si>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</si>
  <si>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</si>
  <si>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</si>
  <si>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</si>
  <si>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</si>
  <si>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</si>
  <si>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</si>
  <si>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</si>
  <si>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</si>
  <si>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</si>
  <si>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</si>
  <si>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</si>
  <si>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</si>
  <si>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</si>
  <si>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</si>
  <si>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</si>
  <si>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</si>
  <si>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</si>
  <si>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</si>
  <si>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</si>
  <si>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</si>
  <si>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</si>
  <si>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</si>
  <si>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</si>
  <si>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</si>
  <si>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</si>
  <si>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</si>
  <si>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</si>
  <si>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</si>
  <si>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</si>
  <si>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</si>
  <si>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</si>
  <si>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</si>
  <si>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</si>
  <si>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</si>
  <si>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</si>
  <si>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</si>
  <si>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</si>
  <si>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</si>
  <si>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</si>
  <si>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</si>
  <si>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</si>
  <si>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</si>
  <si>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</si>
  <si>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</si>
  <si>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</si>
  <si>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</si>
  <si>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</si>
  <si>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</si>
  <si>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</si>
  <si>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</si>
  <si>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</si>
  <si>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</si>
  <si>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</si>
  <si>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</si>
  <si>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</si>
  <si>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</si>
  <si>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</si>
  <si>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</si>
  <si>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</si>
  <si>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</si>
  <si>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</si>
  <si>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</si>
  <si>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</si>
  <si>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</si>
  <si>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</si>
  <si>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</si>
  <si>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</si>
  <si>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</si>
  <si>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</si>
  <si>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</si>
  <si>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</si>
  <si>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</si>
  <si>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</si>
  <si>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</si>
  <si>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</si>
  <si>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</si>
  <si>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</si>
  <si>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</si>
  <si>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</si>
  <si>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</si>
  <si>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</si>
  <si>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</si>
  <si>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</si>
  <si>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</si>
  <si>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</si>
  <si>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</si>
  <si>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</si>
  <si>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</si>
  <si>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</si>
  <si>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</si>
  <si>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</si>
  <si>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</si>
  <si>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</si>
  <si>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</si>
  <si>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</si>
  <si>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</si>
  <si>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</si>
  <si>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</si>
  <si>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</si>
  <si>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</si>
  <si>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</si>
  <si>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</si>
  <si>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</si>
  <si>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</si>
  <si>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</si>
  <si>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</si>
  <si>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</si>
  <si>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</si>
  <si>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</si>
  <si>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</si>
  <si>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</si>
  <si>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</si>
  <si>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</si>
  <si>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</si>
  <si>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</si>
  <si>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</si>
  <si>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</si>
  <si>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</si>
  <si>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</si>
  <si>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</si>
  <si>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</si>
  <si>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</si>
  <si>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</si>
  <si>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</si>
  <si>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</si>
  <si>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</si>
  <si>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</si>
  <si>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</si>
  <si>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</si>
  <si>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</si>
  <si>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</si>
  <si>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</si>
  <si>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</si>
  <si>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</si>
  <si>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</si>
  <si>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</si>
  <si>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</si>
  <si>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</si>
  <si>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</si>
  <si>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</si>
  <si>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</si>
  <si>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</si>
  <si>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</si>
  <si>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</si>
  <si>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</si>
  <si>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</si>
  <si>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</si>
  <si>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</si>
  <si>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</si>
  <si>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</si>
  <si>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</si>
  <si>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</si>
  <si>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</si>
  <si>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</si>
  <si>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</si>
  <si>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</si>
  <si>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</si>
  <si>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</si>
  <si>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</si>
  <si>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</si>
  <si>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</si>
  <si>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</si>
  <si>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</si>
  <si>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</si>
  <si>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</si>
  <si>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</si>
  <si>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</si>
  <si>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</si>
  <si>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</si>
  <si>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</si>
  <si>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</si>
  <si>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</si>
  <si>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</si>
  <si>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</si>
  <si>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</si>
  <si>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</si>
  <si>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</si>
  <si>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</si>
  <si>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</si>
  <si>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</si>
  <si>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</si>
  <si>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</si>
  <si>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</si>
  <si>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</si>
  <si>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</si>
  <si>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</si>
  <si>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</si>
  <si>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</si>
  <si>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</si>
  <si>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</si>
  <si>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</si>
  <si>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</si>
  <si>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</si>
  <si>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</si>
  <si>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</si>
  <si>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</si>
  <si>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</si>
  <si>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</si>
  <si>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</si>
  <si>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</si>
  <si>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</si>
  <si>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</si>
  <si>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</si>
  <si>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</si>
  <si>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</si>
  <si>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</si>
  <si>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</si>
  <si>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</si>
  <si>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</si>
  <si>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</si>
  <si>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</si>
  <si>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</si>
  <si>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</si>
  <si>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</si>
  <si>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</si>
  <si>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</si>
  <si>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</si>
  <si>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</si>
  <si>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</si>
  <si>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</si>
  <si>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</si>
  <si>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</si>
  <si>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</si>
  <si>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</si>
  <si>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</si>
  <si>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</si>
  <si>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</si>
  <si>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</si>
  <si>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</si>
  <si>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</si>
  <si>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</si>
  <si>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</si>
  <si>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</si>
  <si>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</si>
  <si>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</si>
  <si>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</si>
  <si>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</si>
  <si>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</si>
  <si>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</si>
  <si>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</si>
  <si>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</si>
  <si>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</si>
  <si>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</si>
  <si>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</si>
  <si>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</si>
  <si>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</si>
  <si>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</si>
  <si>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</si>
  <si>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</si>
  <si>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</si>
  <si>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</si>
  <si>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</si>
  <si>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</si>
  <si>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</si>
  <si>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</si>
  <si>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</si>
  <si>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</si>
  <si>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</si>
  <si>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</si>
  <si>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</si>
  <si>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</si>
  <si>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</si>
  <si>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</si>
  <si>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</si>
  <si>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</si>
  <si>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</si>
  <si>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</si>
  <si>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</si>
  <si>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</si>
  <si>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</si>
  <si>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</si>
  <si>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</si>
  <si>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</si>
  <si>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</si>
  <si>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</si>
  <si>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</si>
  <si>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</si>
  <si>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</si>
  <si>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</si>
  <si>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</si>
  <si>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</si>
  <si>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</si>
  <si>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</si>
  <si>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</si>
  <si>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</si>
  <si>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</si>
  <si>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</si>
  <si>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</si>
  <si>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</si>
  <si>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</si>
  <si>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</si>
  <si>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</si>
  <si>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</si>
  <si>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</si>
  <si>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</si>
  <si>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</si>
  <si>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</si>
  <si>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</si>
  <si>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</si>
  <si>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</si>
  <si>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</si>
  <si>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</si>
  <si>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</si>
  <si>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</si>
  <si>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</si>
  <si>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</si>
  <si>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</si>
  <si>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</si>
  <si>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</si>
  <si>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</si>
  <si>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</si>
  <si>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</si>
  <si>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</si>
  <si>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</si>
  <si>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</si>
  <si>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</si>
  <si>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</si>
  <si>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</si>
  <si>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</si>
  <si>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</si>
  <si>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</si>
  <si>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</si>
  <si>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</si>
  <si>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</si>
  <si>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</si>
  <si>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</si>
  <si>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</si>
  <si>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</si>
  <si>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</si>
  <si>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</si>
  <si>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</si>
  <si>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</si>
  <si>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</si>
  <si>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</si>
  <si>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</si>
  <si>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</si>
  <si>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</si>
  <si>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</si>
  <si>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</si>
  <si>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</si>
  <si>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</si>
  <si>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</si>
  <si>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</si>
  <si>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</si>
  <si>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</si>
  <si>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</si>
  <si>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</si>
  <si>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</si>
  <si>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</si>
  <si>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</si>
  <si>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</si>
  <si>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</si>
  <si>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</si>
  <si>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</si>
  <si>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</si>
  <si>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</si>
  <si>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</si>
  <si>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</si>
  <si>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</si>
  <si>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</si>
  <si>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</si>
  <si>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</si>
  <si>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</si>
  <si>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</si>
  <si>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</si>
  <si>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</si>
  <si>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</si>
  <si>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</si>
  <si>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</si>
  <si>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</si>
  <si>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</si>
  <si>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</si>
  <si>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</si>
  <si>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</si>
  <si>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</si>
  <si>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</si>
  <si>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</si>
  <si>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</si>
  <si>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</si>
  <si>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</si>
  <si>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</si>
  <si>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</si>
  <si>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</si>
  <si>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</si>
  <si>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</si>
  <si>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</si>
  <si>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</si>
  <si>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</si>
  <si>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</si>
  <si>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</si>
  <si>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</si>
  <si>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</si>
  <si>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</si>
  <si>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</si>
  <si>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</si>
  <si>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</si>
  <si>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</si>
  <si>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</si>
  <si>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</si>
  <si>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</si>
  <si>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</si>
  <si>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</si>
  <si>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</si>
  <si>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</si>
  <si>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</si>
  <si>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</si>
  <si>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</si>
  <si>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</si>
  <si>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</si>
  <si>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</si>
  <si>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</si>
  <si>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</si>
  <si>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</si>
  <si>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</si>
  <si>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</si>
  <si>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</si>
  <si>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</si>
  <si>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</si>
  <si>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</si>
  <si>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</si>
  <si>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</si>
  <si>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</si>
  <si>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</si>
  <si>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</si>
  <si>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</si>
  <si>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</si>
  <si>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</si>
  <si>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</si>
  <si>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</si>
  <si>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</si>
  <si>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</si>
  <si>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</si>
  <si>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</si>
  <si>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</si>
  <si>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</si>
  <si>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</si>
  <si>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</si>
  <si>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</si>
  <si>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</si>
  <si>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</si>
  <si>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</si>
  <si>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</si>
  <si>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</si>
  <si>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</si>
  <si>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</si>
  <si>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</si>
  <si>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</si>
  <si>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</si>
  <si>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</si>
  <si>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</si>
  <si>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</si>
  <si>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</si>
  <si>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</si>
  <si>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</si>
  <si>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</si>
  <si>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</si>
  <si>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</si>
  <si>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</si>
  <si>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</si>
  <si>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</si>
  <si>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</si>
  <si>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</si>
  <si>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</si>
  <si>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</si>
  <si>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</si>
  <si>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</si>
  <si>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</si>
  <si>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</si>
  <si>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</si>
  <si>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</si>
  <si>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</si>
  <si>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</si>
  <si>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</si>
  <si>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</si>
  <si>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</si>
  <si>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</si>
  <si>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</si>
  <si>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</si>
  <si>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</si>
  <si>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</si>
  <si>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</si>
  <si>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</si>
  <si>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</si>
  <si>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</si>
  <si>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</si>
  <si>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</si>
  <si>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</si>
  <si>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</si>
  <si>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</si>
  <si>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</si>
  <si>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</si>
  <si>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</si>
  <si>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</si>
  <si>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</si>
  <si>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</si>
  <si>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</si>
  <si>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</si>
  <si>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</si>
  <si>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</si>
  <si>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</si>
  <si>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</si>
  <si>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</si>
  <si>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</si>
  <si>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</si>
  <si>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</si>
  <si>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</si>
  <si>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</si>
  <si>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</si>
  <si>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</si>
  <si>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</si>
  <si>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</si>
  <si>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</si>
  <si>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</si>
  <si>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</si>
  <si>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</si>
  <si>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</si>
  <si>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</si>
  <si>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</si>
  <si>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</si>
  <si>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</si>
  <si>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</si>
  <si>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</si>
  <si>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</si>
  <si>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</si>
  <si>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</si>
  <si>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</si>
  <si>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</si>
  <si>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</si>
  <si>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</si>
  <si>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</si>
  <si>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</si>
  <si>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</si>
  <si>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</si>
  <si>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</si>
  <si>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</si>
  <si>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</si>
  <si>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</si>
  <si>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</si>
  <si>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</si>
  <si>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</si>
  <si>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</si>
  <si>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</si>
  <si>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</si>
  <si>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</si>
  <si>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</si>
  <si>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</si>
  <si>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</si>
  <si>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</si>
  <si>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</si>
  <si>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</si>
  <si>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</si>
  <si>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</si>
  <si>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</si>
  <si>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</si>
  <si>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</si>
  <si>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</si>
  <si>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</si>
  <si>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</si>
  <si>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</si>
  <si>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</si>
  <si>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</si>
  <si>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</si>
  <si>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</si>
  <si>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</si>
  <si>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</si>
  <si>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</si>
  <si>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</si>
  <si>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</si>
  <si>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</si>
  <si>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</si>
  <si>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</si>
  <si>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</si>
  <si>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</si>
  <si>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</si>
  <si>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</si>
  <si>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</si>
  <si>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</si>
  <si>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</si>
  <si>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</si>
  <si>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</si>
  <si>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</si>
  <si>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</si>
  <si>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</si>
  <si>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</si>
  <si>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</si>
  <si>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</si>
  <si>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</si>
  <si>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</si>
  <si>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</si>
  <si>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</si>
  <si>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</si>
  <si>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</si>
  <si>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</si>
  <si>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</si>
  <si>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</si>
  <si>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</si>
  <si>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</si>
  <si>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</si>
  <si>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</si>
  <si>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</si>
  <si>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</si>
  <si>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</si>
  <si>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</si>
  <si>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</si>
  <si>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</si>
  <si>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</si>
  <si>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</si>
  <si>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</si>
  <si>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</si>
  <si>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</si>
  <si>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</si>
  <si>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</si>
  <si>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</si>
  <si>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</si>
  <si>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</si>
  <si>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</si>
  <si>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</si>
  <si>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</si>
  <si>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</si>
  <si>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</si>
  <si>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</si>
  <si>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</si>
  <si>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</si>
  <si>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</si>
  <si>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</si>
  <si>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</si>
  <si>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</si>
  <si>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</si>
  <si>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</si>
  <si>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</si>
  <si>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</si>
  <si>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</si>
  <si>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</si>
  <si>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</si>
  <si>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</si>
  <si>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</si>
  <si>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</si>
  <si>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</si>
  <si>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</si>
  <si>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</si>
  <si>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</si>
  <si>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</si>
  <si>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</si>
  <si>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</si>
  <si>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</si>
  <si>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</si>
  <si>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</si>
  <si>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</si>
  <si>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</si>
  <si>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</si>
  <si>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</si>
  <si>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</si>
  <si>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</si>
  <si>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</si>
  <si>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</si>
  <si>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</si>
  <si>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</si>
  <si>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</si>
  <si>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</si>
  <si>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</si>
  <si>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</si>
  <si>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</si>
  <si>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</si>
  <si>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</si>
  <si>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</si>
  <si>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</si>
  <si>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</si>
  <si>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</si>
  <si>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</si>
  <si>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</si>
  <si>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</si>
  <si>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</si>
  <si>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</si>
  <si>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</si>
  <si>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</si>
  <si>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</si>
  <si>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</si>
  <si>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</si>
  <si>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</si>
  <si>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</si>
  <si>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</si>
  <si>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</si>
  <si>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</si>
  <si>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</si>
  <si>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</si>
  <si>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</si>
  <si>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</si>
  <si>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</si>
  <si>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</si>
  <si>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</si>
  <si>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</si>
  <si>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</si>
  <si>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</si>
  <si>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</si>
  <si>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</si>
  <si>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</si>
  <si>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</si>
  <si>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</si>
  <si>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</si>
  <si>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</si>
  <si>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</si>
  <si>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</si>
  <si>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</si>
  <si>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</si>
  <si>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</si>
  <si>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</si>
  <si>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</si>
  <si>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</si>
  <si>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</si>
  <si>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</si>
  <si>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</si>
  <si>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</si>
  <si>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</si>
  <si>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</si>
  <si>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</si>
  <si>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</si>
  <si>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</si>
  <si>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</si>
  <si>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</si>
  <si>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</si>
  <si>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</si>
  <si>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</si>
  <si>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</si>
  <si>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</si>
  <si>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</si>
  <si>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</si>
  <si>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</si>
  <si>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</si>
  <si>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</si>
  <si>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</si>
  <si>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</si>
  <si>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</si>
  <si>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</si>
  <si>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</si>
  <si>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</si>
  <si>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</si>
  <si>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</si>
  <si>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</si>
  <si>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</si>
  <si>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</si>
  <si>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</si>
  <si>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</si>
  <si>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</si>
  <si>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</si>
  <si>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</si>
  <si>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</si>
  <si>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</si>
  <si>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</si>
  <si>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</si>
  <si>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</si>
  <si>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</si>
  <si>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</si>
  <si>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</si>
  <si>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</si>
  <si>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</si>
  <si>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</si>
  <si>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</si>
  <si>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</si>
  <si>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</si>
  <si>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</si>
  <si>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</si>
  <si>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</si>
  <si>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</si>
  <si>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</si>
  <si>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</si>
  <si>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</si>
  <si>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</si>
  <si>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</si>
  <si>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</si>
  <si>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</si>
  <si>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</si>
  <si>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</si>
  <si>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</si>
  <si>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</si>
  <si>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</si>
  <si>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</si>
  <si>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</si>
  <si>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</si>
  <si>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</si>
  <si>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</si>
  <si>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</si>
  <si>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</si>
  <si>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</si>
  <si>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</si>
  <si>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</si>
  <si>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</si>
  <si>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</si>
  <si>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</si>
  <si>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</si>
  <si>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</si>
  <si>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</si>
  <si>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</si>
  <si>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</si>
  <si>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</si>
  <si>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</si>
  <si>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</si>
  <si>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</si>
  <si>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</si>
  <si>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</si>
  <si>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</si>
  <si>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</si>
  <si>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</si>
  <si>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</si>
  <si>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</si>
  <si>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</si>
  <si>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</si>
  <si>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</si>
  <si>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</si>
  <si>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</si>
  <si>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</si>
  <si>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</si>
  <si>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</si>
  <si>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</si>
  <si>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</si>
  <si>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</si>
  <si>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</si>
  <si>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</si>
  <si>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</si>
  <si>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</si>
  <si>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</si>
  <si>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</si>
  <si>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</si>
  <si>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</si>
  <si>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</si>
  <si>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</si>
  <si>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</si>
  <si>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</si>
  <si>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</si>
  <si>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</si>
  <si>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</si>
  <si>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</si>
  <si>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</si>
  <si>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</si>
  <si>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</si>
  <si>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</si>
  <si>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</si>
  <si>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</si>
  <si>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</si>
  <si>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</si>
  <si>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</si>
  <si>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</si>
  <si>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</si>
  <si>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</si>
  <si>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</si>
  <si>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</si>
  <si>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</si>
  <si>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</si>
  <si>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</si>
  <si>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</si>
  <si>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</si>
  <si>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</si>
  <si>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</si>
  <si>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</si>
  <si>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</si>
  <si>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</si>
  <si>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</si>
  <si>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</si>
  <si>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</si>
  <si>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</si>
  <si>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</si>
  <si>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</si>
  <si>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</si>
  <si>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</si>
  <si>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</si>
  <si>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</si>
  <si>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</si>
  <si>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</si>
  <si>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</si>
  <si>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</si>
  <si>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</si>
  <si>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</si>
  <si>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</si>
  <si>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</si>
  <si>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</si>
  <si>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</si>
  <si>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</si>
  <si>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</si>
  <si>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</si>
  <si>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</si>
  <si>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</si>
  <si>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</si>
  <si>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</si>
  <si>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</si>
  <si>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</si>
  <si>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</si>
  <si>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</si>
  <si>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</si>
  <si>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</si>
  <si>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</si>
  <si>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</si>
  <si>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</si>
  <si>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</si>
  <si>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</si>
  <si>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</si>
  <si>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</si>
  <si>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</si>
  <si>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</si>
  <si>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</si>
  <si>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</si>
  <si>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</si>
  <si>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</si>
  <si>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</si>
  <si>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</si>
  <si>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</si>
  <si>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</si>
  <si>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</si>
  <si>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</si>
  <si>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</si>
  <si>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</si>
  <si>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</si>
  <si>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</si>
  <si>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</si>
  <si>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</si>
  <si>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</si>
  <si>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</si>
  <si>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</si>
  <si>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</si>
  <si>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</si>
  <si>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</si>
  <si>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</si>
  <si>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</si>
  <si>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</si>
  <si>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</si>
  <si>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</si>
  <si>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</si>
  <si>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</si>
  <si>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</si>
  <si>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</si>
  <si>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</si>
  <si>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</si>
  <si>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</si>
  <si>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</si>
  <si>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</si>
  <si>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</si>
  <si>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</si>
  <si>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</si>
  <si>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</si>
  <si>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</si>
  <si>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</si>
  <si>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</si>
  <si>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</si>
  <si>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</si>
  <si>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</si>
  <si>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</si>
  <si>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</si>
  <si>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</si>
  <si>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</si>
  <si>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</si>
  <si>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</si>
  <si>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</si>
  <si>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</si>
  <si>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</si>
  <si>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</si>
  <si>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</si>
  <si>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</si>
  <si>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</si>
  <si>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</si>
  <si>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</si>
  <si>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</si>
  <si>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</si>
  <si>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</si>
  <si>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</si>
  <si>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</si>
  <si>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</si>
  <si>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</si>
  <si>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</si>
  <si>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</si>
  <si>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</si>
  <si>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</si>
  <si>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</si>
  <si>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</si>
  <si>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</si>
  <si>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</si>
  <si>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</si>
  <si>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</si>
  <si>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</si>
  <si>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</si>
  <si>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</si>
  <si>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</si>
  <si>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</si>
  <si>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</si>
  <si>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</si>
  <si>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</si>
  <si>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</si>
  <si>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</si>
  <si>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</si>
  <si>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</si>
  <si>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</si>
  <si>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</si>
  <si>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</si>
  <si>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</si>
  <si>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</si>
  <si>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</si>
  <si>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</si>
  <si>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</si>
  <si>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</si>
  <si>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</si>
  <si>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</si>
  <si>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</si>
  <si>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</si>
  <si>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</si>
  <si>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</si>
  <si>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</si>
  <si>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</si>
  <si>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</si>
  <si>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</si>
  <si>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</si>
  <si>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</si>
  <si>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</si>
  <si>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</si>
  <si>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</si>
  <si>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</si>
  <si>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</si>
  <si>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</si>
  <si>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</si>
  <si>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</si>
  <si>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</si>
  <si>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</si>
  <si>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</si>
  <si>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</si>
  <si>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</si>
  <si>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</si>
  <si>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</si>
  <si>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</si>
  <si>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</si>
  <si>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</si>
  <si>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</si>
  <si>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</si>
  <si>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</si>
  <si>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</si>
  <si>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</si>
  <si>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</si>
  <si>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</si>
  <si>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</si>
  <si>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</si>
  <si>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</si>
  <si>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</si>
  <si>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</si>
  <si>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</si>
  <si>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</si>
  <si>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</si>
  <si>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</si>
  <si>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</si>
  <si>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</si>
  <si>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</si>
  <si>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</si>
  <si>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</si>
  <si>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</si>
  <si>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</si>
  <si>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</si>
  <si>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</si>
  <si>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</si>
  <si>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</si>
  <si>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</si>
  <si>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</si>
  <si>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</si>
  <si>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</si>
  <si>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</si>
  <si>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</si>
  <si>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</si>
  <si>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</si>
  <si>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</si>
  <si>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</si>
  <si>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</si>
  <si>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</si>
  <si>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</si>
  <si>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</si>
  <si>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</si>
  <si>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</si>
  <si>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</si>
  <si>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</si>
  <si>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</si>
  <si>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</si>
  <si>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</si>
  <si>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</si>
  <si>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</si>
  <si>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</si>
  <si>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</si>
  <si>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</si>
  <si>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</si>
  <si>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</si>
  <si>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</si>
  <si>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</si>
  <si>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</si>
  <si>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</si>
  <si>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</si>
  <si>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</si>
  <si>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</si>
  <si>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</si>
  <si>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</si>
  <si>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</si>
  <si>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</si>
  <si>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</si>
  <si>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</si>
  <si>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</si>
  <si>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</si>
  <si>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</si>
  <si>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</si>
  <si>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</si>
  <si>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</si>
  <si>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</si>
  <si>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</si>
  <si>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</si>
  <si>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</si>
  <si>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</si>
  <si>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</si>
  <si>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</si>
  <si>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</si>
  <si>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</si>
  <si>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</si>
  <si>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</si>
  <si>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</si>
  <si>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</si>
  <si>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</si>
  <si>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</si>
  <si>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</si>
  <si>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</si>
  <si>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</si>
  <si>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</si>
  <si>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</si>
  <si>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</si>
  <si>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</si>
  <si>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</si>
  <si>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</si>
  <si>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</si>
  <si>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</si>
  <si>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</si>
  <si>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</si>
  <si>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</si>
  <si>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</si>
  <si>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</si>
  <si>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</si>
  <si>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</si>
  <si>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</si>
  <si>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</si>
  <si>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</si>
  <si>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</si>
  <si>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</si>
  <si>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</si>
  <si>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</si>
  <si>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</si>
  <si>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</si>
  <si>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</si>
  <si>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</si>
  <si>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</si>
  <si>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</si>
  <si>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</si>
  <si>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</si>
  <si>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</si>
  <si>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</si>
  <si>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</si>
  <si>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</si>
  <si>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</si>
  <si>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</si>
  <si>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</si>
  <si>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</si>
  <si>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</si>
  <si>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</si>
  <si>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</si>
  <si>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</si>
  <si>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</si>
  <si>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</si>
  <si>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</si>
  <si>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</si>
  <si>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</si>
  <si>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</si>
  <si>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</si>
  <si>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</si>
  <si>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</si>
  <si>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</si>
  <si>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</si>
  <si>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</si>
  <si>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</si>
  <si>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</si>
  <si>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</si>
  <si>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</si>
  <si>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</si>
  <si>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</si>
  <si>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</si>
  <si>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</si>
  <si>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</si>
  <si>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</si>
  <si>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</si>
  <si>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</si>
  <si>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</si>
  <si>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</si>
  <si>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</si>
  <si>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</si>
  <si>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</si>
  <si>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</si>
  <si>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</si>
  <si>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</si>
  <si>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</si>
  <si>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</si>
  <si>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</si>
  <si>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</si>
  <si>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</si>
  <si>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</si>
  <si>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</si>
  <si>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</si>
  <si>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</si>
  <si>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</si>
  <si>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</si>
  <si>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</si>
  <si>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</si>
  <si>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</si>
  <si>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</si>
  <si>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</si>
  <si>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</si>
  <si>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</si>
  <si>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</si>
  <si>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</si>
  <si>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</si>
  <si>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</si>
  <si>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</si>
  <si>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</si>
  <si>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</si>
  <si>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</si>
  <si>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</si>
  <si>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</si>
  <si>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</si>
  <si>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</si>
  <si>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</si>
  <si>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</si>
  <si>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</si>
  <si>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</si>
  <si>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</si>
  <si>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</si>
  <si>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</si>
  <si>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</si>
  <si>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</si>
  <si>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</si>
  <si>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</si>
  <si>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</si>
  <si>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</si>
  <si>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</si>
  <si>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</si>
  <si>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</si>
  <si>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</si>
  <si>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</si>
  <si>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</si>
  <si>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</si>
  <si>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</si>
  <si>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</si>
  <si>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</si>
  <si>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</si>
  <si>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</si>
  <si>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</si>
  <si>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</si>
  <si>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</si>
  <si>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</si>
  <si>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</si>
  <si>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</si>
  <si>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</si>
  <si>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</si>
  <si>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</si>
  <si>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</si>
  <si>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</si>
  <si>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</si>
  <si>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</si>
  <si>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</si>
  <si>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</si>
  <si>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</si>
  <si>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</si>
  <si>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</si>
  <si>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</si>
  <si>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</si>
  <si>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</si>
  <si>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</si>
  <si>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</si>
  <si>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</si>
  <si>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</si>
  <si>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</si>
  <si>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</si>
  <si>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GAGGIONE SAS</t>
  </si>
  <si>
    <t>DUNS 27787219</t>
  </si>
  <si>
    <t>Dun &amp; Bradstreet</t>
  </si>
  <si>
    <t>3, rue de la Rolland 01460 MONTREAL LA CLUSE France</t>
  </si>
  <si>
    <t>Mr Viviant</t>
  </si>
  <si>
    <t>j.viviant@gaggione.com</t>
  </si>
  <si>
    <t>+ 33 (0)4 74 76 12 66</t>
  </si>
  <si>
    <t>Quality Manager</t>
  </si>
  <si>
    <t>Resquest supplier declaration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</si>
</sst>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13">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viviant@gaggion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viviant@gaggion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abSelected="1" topLeftCell="A2" workbookViewId="0">
      <pane xSplit="1" ySplit="11" topLeftCell="B13" activePane="bottomRight" state="frozen"/>
      <selection activeCell="A4" sqref="A4"/>
      <selection pane="topRight" activeCell="A4" sqref="A4"/>
      <selection pane="bottomLeft" activeCell="A4" sqref="A4"/>
      <selection pane="bottomRight" activeCell="B52" sqref="B52"/>
    </sheetView>
  </sheetViews>
  <sheetFormatPr baseColWidth="10" defaultColWidth="9" defaultRowHeight="12.6"/>
  <cols>
    <col min="1" max="1" width="0.81640625" style="113" customWidth="1"/>
    <col min="2" max="2" width="8" style="113" customWidth="1"/>
    <col min="3" max="3" width="8.6328125" style="113" customWidth="1"/>
    <col min="4" max="4" width="13" style="213"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5"/>
      <c r="E1" s="10"/>
      <c r="F1" s="10"/>
      <c r="G1" s="11"/>
    </row>
    <row r="2" spans="1:7">
      <c r="A2" s="363"/>
      <c r="B2" s="38" t="s">
        <v>847</v>
      </c>
      <c r="C2" s="36"/>
      <c r="D2" s="206"/>
      <c r="E2" s="3"/>
      <c r="F2" s="36"/>
      <c r="G2" s="34"/>
    </row>
    <row r="3" spans="1:7">
      <c r="A3" s="363"/>
      <c r="B3" s="5" t="s">
        <v>839</v>
      </c>
      <c r="C3" s="6"/>
      <c r="D3" s="207"/>
      <c r="E3" s="3"/>
      <c r="F3" s="6"/>
      <c r="G3" s="34"/>
    </row>
    <row r="4" spans="1:7" ht="15">
      <c r="A4" s="363"/>
      <c r="B4" s="41" t="s">
        <v>849</v>
      </c>
      <c r="C4" s="7"/>
      <c r="D4" s="208"/>
      <c r="E4" s="3"/>
      <c r="F4" s="7"/>
      <c r="G4" s="34"/>
    </row>
    <row r="5" spans="1:7" ht="13.2">
      <c r="A5" s="363"/>
      <c r="B5" s="40" t="s">
        <v>1040</v>
      </c>
      <c r="C5" s="4"/>
      <c r="D5" s="209"/>
      <c r="E5" s="3"/>
      <c r="F5" s="4"/>
      <c r="G5" s="34"/>
    </row>
    <row r="6" spans="1:7">
      <c r="A6" s="363"/>
      <c r="B6" s="8"/>
      <c r="C6" s="8"/>
      <c r="D6" s="210"/>
      <c r="E6" s="8"/>
      <c r="F6" s="8"/>
      <c r="G6" s="34"/>
    </row>
    <row r="7" spans="1:7">
      <c r="A7" s="363"/>
      <c r="B7" s="8"/>
      <c r="C7" s="8"/>
      <c r="D7" s="210"/>
      <c r="E7" s="8"/>
      <c r="F7" s="8"/>
      <c r="G7" s="34"/>
    </row>
    <row r="8" spans="1:7">
      <c r="A8" s="363"/>
      <c r="B8" s="8"/>
      <c r="C8" s="8"/>
      <c r="D8" s="210"/>
      <c r="E8" s="8"/>
      <c r="F8" s="8"/>
      <c r="G8" s="34"/>
    </row>
    <row r="9" spans="1:7">
      <c r="A9" s="363"/>
      <c r="B9" s="366" t="s">
        <v>850</v>
      </c>
      <c r="C9" s="366"/>
      <c r="D9" s="366"/>
      <c r="E9" s="366"/>
      <c r="F9" s="366"/>
      <c r="G9" s="34"/>
    </row>
    <row r="10" spans="1:7" ht="27" customHeight="1">
      <c r="A10" s="363"/>
      <c r="B10" s="367" t="s">
        <v>438</v>
      </c>
      <c r="C10" s="367"/>
      <c r="D10" s="367"/>
      <c r="E10" s="367"/>
      <c r="F10" s="367"/>
      <c r="G10" s="34"/>
    </row>
    <row r="11" spans="1:7" ht="27" customHeight="1">
      <c r="A11" s="363"/>
      <c r="B11" s="368"/>
      <c r="C11" s="368"/>
      <c r="D11" s="368"/>
      <c r="E11" s="368"/>
      <c r="F11" s="368"/>
      <c r="G11" s="34"/>
    </row>
    <row r="12" spans="1:7">
      <c r="A12" s="363"/>
      <c r="B12" s="42" t="s">
        <v>848</v>
      </c>
      <c r="C12" s="43" t="s">
        <v>851</v>
      </c>
      <c r="D12" s="211" t="s">
        <v>852</v>
      </c>
      <c r="E12" s="43" t="s">
        <v>612</v>
      </c>
      <c r="F12" s="43" t="s">
        <v>613</v>
      </c>
      <c r="G12" s="34"/>
    </row>
    <row r="13" spans="1:7" ht="20.399999999999999">
      <c r="A13" s="363"/>
      <c r="B13" s="2">
        <v>1</v>
      </c>
      <c r="C13" s="37" t="s">
        <v>1088</v>
      </c>
      <c r="D13" s="39" t="s">
        <v>876</v>
      </c>
      <c r="E13" s="194" t="s">
        <v>853</v>
      </c>
      <c r="F13" s="194"/>
      <c r="G13" s="34"/>
    </row>
    <row r="14" spans="1:7" ht="30.6">
      <c r="A14" s="363"/>
      <c r="B14" s="2">
        <v>2</v>
      </c>
      <c r="C14" s="37" t="s">
        <v>1088</v>
      </c>
      <c r="D14" s="39" t="s">
        <v>1025</v>
      </c>
      <c r="E14" s="194" t="s">
        <v>530</v>
      </c>
      <c r="F14" s="194" t="s">
        <v>531</v>
      </c>
      <c r="G14" s="34"/>
    </row>
    <row r="15" spans="1:7" ht="89.1" customHeight="1">
      <c r="A15" s="363"/>
      <c r="B15" s="369">
        <v>2.0099999999999998</v>
      </c>
      <c r="C15" s="360" t="s">
        <v>1088</v>
      </c>
      <c r="D15" s="372" t="s">
        <v>2265</v>
      </c>
      <c r="E15" s="195" t="s">
        <v>614</v>
      </c>
      <c r="F15" s="195" t="s">
        <v>617</v>
      </c>
      <c r="G15" s="34"/>
    </row>
    <row r="16" spans="1:7" ht="99" customHeight="1">
      <c r="A16" s="363"/>
      <c r="B16" s="370"/>
      <c r="C16" s="361"/>
      <c r="D16" s="373"/>
      <c r="E16" s="196"/>
      <c r="F16" s="196" t="s">
        <v>615</v>
      </c>
      <c r="G16" s="34"/>
    </row>
    <row r="17" spans="1:7" ht="63" customHeight="1">
      <c r="A17" s="363"/>
      <c r="B17" s="371"/>
      <c r="C17" s="362"/>
      <c r="D17" s="374"/>
      <c r="E17" s="37"/>
      <c r="F17" s="37" t="s">
        <v>616</v>
      </c>
      <c r="G17" s="34"/>
    </row>
    <row r="18" spans="1:7" ht="117" customHeight="1">
      <c r="A18" s="363"/>
      <c r="B18" s="369">
        <v>2.02</v>
      </c>
      <c r="C18" s="360" t="s">
        <v>1088</v>
      </c>
      <c r="D18" s="372" t="s">
        <v>2266</v>
      </c>
      <c r="E18" s="195" t="s">
        <v>439</v>
      </c>
      <c r="F18" s="195" t="s">
        <v>525</v>
      </c>
      <c r="G18" s="34"/>
    </row>
    <row r="19" spans="1:7" ht="71.099999999999994" customHeight="1">
      <c r="A19" s="363"/>
      <c r="B19" s="370"/>
      <c r="C19" s="361"/>
      <c r="D19" s="373"/>
      <c r="E19" s="196" t="s">
        <v>529</v>
      </c>
      <c r="F19" s="196" t="s">
        <v>440</v>
      </c>
      <c r="G19" s="34"/>
    </row>
    <row r="20" spans="1:7" ht="90.75" customHeight="1">
      <c r="A20" s="363"/>
      <c r="B20" s="370"/>
      <c r="C20" s="361"/>
      <c r="D20" s="373"/>
      <c r="E20" s="196"/>
      <c r="F20" s="196" t="s">
        <v>619</v>
      </c>
      <c r="G20" s="34"/>
    </row>
    <row r="21" spans="1:7" ht="74.25" customHeight="1">
      <c r="A21" s="363"/>
      <c r="B21" s="371"/>
      <c r="C21" s="362"/>
      <c r="D21" s="374"/>
      <c r="E21" s="37"/>
      <c r="F21" s="37" t="s">
        <v>618</v>
      </c>
      <c r="G21" s="34"/>
    </row>
    <row r="22" spans="1:7" ht="90" customHeight="1">
      <c r="A22" s="363"/>
      <c r="B22" s="354">
        <v>2.0299999999999998</v>
      </c>
      <c r="C22" s="354" t="s">
        <v>822</v>
      </c>
      <c r="D22" s="357" t="s">
        <v>2267</v>
      </c>
      <c r="E22" s="360" t="s">
        <v>437</v>
      </c>
      <c r="F22" s="195" t="s">
        <v>460</v>
      </c>
      <c r="G22" s="34"/>
    </row>
    <row r="23" spans="1:7" ht="109.5" customHeight="1">
      <c r="A23" s="363"/>
      <c r="B23" s="355"/>
      <c r="C23" s="355"/>
      <c r="D23" s="358"/>
      <c r="E23" s="361"/>
      <c r="F23" s="196" t="s">
        <v>823</v>
      </c>
      <c r="G23" s="34"/>
    </row>
    <row r="24" spans="1:7" ht="74.25" customHeight="1">
      <c r="A24" s="363"/>
      <c r="B24" s="356"/>
      <c r="C24" s="356"/>
      <c r="D24" s="359"/>
      <c r="E24" s="362"/>
      <c r="F24" s="37" t="s">
        <v>436</v>
      </c>
      <c r="G24" s="34"/>
    </row>
    <row r="25" spans="1:7" ht="72" customHeight="1">
      <c r="A25" s="363"/>
      <c r="B25" s="2" t="s">
        <v>458</v>
      </c>
      <c r="C25" s="37" t="s">
        <v>459</v>
      </c>
      <c r="D25" s="39" t="s">
        <v>2268</v>
      </c>
      <c r="E25" s="37" t="s">
        <v>2263</v>
      </c>
      <c r="F25" s="37" t="s">
        <v>461</v>
      </c>
      <c r="G25" s="34"/>
    </row>
    <row r="26" spans="1:7" ht="98.1" customHeight="1">
      <c r="A26" s="363"/>
      <c r="B26" s="375">
        <v>3</v>
      </c>
      <c r="C26" s="369" t="s">
        <v>70</v>
      </c>
      <c r="D26" s="372" t="s">
        <v>2269</v>
      </c>
      <c r="E26" s="360" t="s">
        <v>0</v>
      </c>
      <c r="F26" s="195" t="s">
        <v>64</v>
      </c>
      <c r="G26" s="34"/>
    </row>
    <row r="27" spans="1:7" ht="90" customHeight="1">
      <c r="A27" s="363"/>
      <c r="B27" s="376"/>
      <c r="C27" s="370"/>
      <c r="D27" s="373"/>
      <c r="E27" s="361"/>
      <c r="F27" s="196" t="s">
        <v>59</v>
      </c>
      <c r="G27" s="34"/>
    </row>
    <row r="28" spans="1:7" ht="19.350000000000001" customHeight="1">
      <c r="A28" s="363"/>
      <c r="B28" s="376"/>
      <c r="C28" s="370"/>
      <c r="D28" s="373"/>
      <c r="E28" s="361"/>
      <c r="F28" s="196" t="s">
        <v>60</v>
      </c>
      <c r="G28" s="34"/>
    </row>
    <row r="29" spans="1:7" ht="74.55" customHeight="1">
      <c r="A29" s="363"/>
      <c r="B29" s="376"/>
      <c r="C29" s="370"/>
      <c r="D29" s="373"/>
      <c r="E29" s="361"/>
      <c r="F29" s="196" t="s">
        <v>61</v>
      </c>
      <c r="G29" s="34"/>
    </row>
    <row r="30" spans="1:7" ht="62.55" customHeight="1">
      <c r="A30" s="363"/>
      <c r="B30" s="376"/>
      <c r="C30" s="370"/>
      <c r="D30" s="373"/>
      <c r="E30" s="361"/>
      <c r="F30" s="196" t="s">
        <v>62</v>
      </c>
      <c r="G30" s="34"/>
    </row>
    <row r="31" spans="1:7" ht="81" customHeight="1">
      <c r="A31" s="363"/>
      <c r="B31" s="376"/>
      <c r="C31" s="370"/>
      <c r="D31" s="373"/>
      <c r="E31" s="361"/>
      <c r="F31" s="196" t="s">
        <v>63</v>
      </c>
      <c r="G31" s="34"/>
    </row>
    <row r="32" spans="1:7" ht="48.75" customHeight="1">
      <c r="A32" s="363"/>
      <c r="B32" s="376"/>
      <c r="C32" s="370"/>
      <c r="D32" s="373"/>
      <c r="E32" s="361"/>
      <c r="F32" s="196" t="s">
        <v>66</v>
      </c>
      <c r="G32" s="34"/>
    </row>
    <row r="33" spans="1:7" ht="98.55" customHeight="1">
      <c r="A33" s="363"/>
      <c r="B33" s="376"/>
      <c r="C33" s="370"/>
      <c r="D33" s="373"/>
      <c r="E33" s="361"/>
      <c r="F33" s="196" t="s">
        <v>65</v>
      </c>
      <c r="G33" s="34"/>
    </row>
    <row r="34" spans="1:7" ht="89.1" customHeight="1">
      <c r="A34" s="363"/>
      <c r="B34" s="376"/>
      <c r="C34" s="370"/>
      <c r="D34" s="373"/>
      <c r="E34" s="361"/>
      <c r="F34" s="196" t="s">
        <v>67</v>
      </c>
      <c r="G34" s="34"/>
    </row>
    <row r="35" spans="1:7" ht="29.1" customHeight="1">
      <c r="A35" s="363"/>
      <c r="B35" s="376"/>
      <c r="C35" s="370"/>
      <c r="D35" s="373"/>
      <c r="E35" s="361"/>
      <c r="F35" s="196" t="s">
        <v>68</v>
      </c>
      <c r="G35" s="34"/>
    </row>
    <row r="36" spans="1:7" ht="112.2">
      <c r="A36" s="363"/>
      <c r="B36" s="377"/>
      <c r="C36" s="371"/>
      <c r="D36" s="374"/>
      <c r="E36" s="362"/>
      <c r="F36" s="197" t="s">
        <v>69</v>
      </c>
      <c r="G36" s="34"/>
    </row>
    <row r="37" spans="1:7" ht="102">
      <c r="A37" s="363"/>
      <c r="B37" s="170">
        <v>3.01</v>
      </c>
      <c r="C37" s="171" t="s">
        <v>70</v>
      </c>
      <c r="D37" s="39" t="s">
        <v>2270</v>
      </c>
      <c r="E37" s="198" t="s">
        <v>1328</v>
      </c>
      <c r="F37" s="199" t="s">
        <v>1434</v>
      </c>
      <c r="G37" s="34"/>
    </row>
    <row r="38" spans="1:7" ht="81.599999999999994">
      <c r="A38" s="363"/>
      <c r="B38" s="170">
        <v>3.02</v>
      </c>
      <c r="C38" s="171" t="s">
        <v>1361</v>
      </c>
      <c r="D38" s="39" t="s">
        <v>2271</v>
      </c>
      <c r="E38" s="198" t="s">
        <v>1376</v>
      </c>
      <c r="F38" s="199" t="s">
        <v>1435</v>
      </c>
      <c r="G38" s="34"/>
    </row>
    <row r="39" spans="1:7" ht="81.599999999999994">
      <c r="A39" s="363"/>
      <c r="B39" s="180">
        <v>4</v>
      </c>
      <c r="C39" s="179" t="s">
        <v>1531</v>
      </c>
      <c r="D39" s="39" t="s">
        <v>2272</v>
      </c>
      <c r="E39" s="37" t="s">
        <v>2215</v>
      </c>
      <c r="F39" s="37" t="s">
        <v>1532</v>
      </c>
      <c r="G39" s="34"/>
    </row>
    <row r="40" spans="1:7" ht="40.799999999999997">
      <c r="A40" s="363"/>
      <c r="B40" s="170">
        <v>4.01</v>
      </c>
      <c r="C40" s="179" t="s">
        <v>1531</v>
      </c>
      <c r="D40" s="39" t="s">
        <v>2274</v>
      </c>
      <c r="E40" s="37" t="s">
        <v>2229</v>
      </c>
      <c r="F40" s="37" t="s">
        <v>2233</v>
      </c>
      <c r="G40" s="34"/>
    </row>
    <row r="41" spans="1:7" ht="40.799999999999997">
      <c r="A41" s="363"/>
      <c r="B41" s="170" t="s">
        <v>2261</v>
      </c>
      <c r="C41" s="179" t="s">
        <v>1531</v>
      </c>
      <c r="D41" s="39" t="s">
        <v>2273</v>
      </c>
      <c r="E41" s="37" t="s">
        <v>2264</v>
      </c>
      <c r="F41" s="37" t="s">
        <v>2262</v>
      </c>
      <c r="G41" s="34"/>
    </row>
    <row r="42" spans="1:7" ht="40.799999999999997">
      <c r="A42" s="363"/>
      <c r="B42" s="170" t="s">
        <v>2299</v>
      </c>
      <c r="C42" s="179" t="s">
        <v>1531</v>
      </c>
      <c r="D42" s="39" t="s">
        <v>2306</v>
      </c>
      <c r="E42" s="37" t="s">
        <v>2263</v>
      </c>
      <c r="F42" s="37" t="s">
        <v>2300</v>
      </c>
      <c r="G42" s="34"/>
    </row>
    <row r="43" spans="1:7" ht="112.2">
      <c r="A43" s="363"/>
      <c r="B43" s="191">
        <v>4.0999999999999996</v>
      </c>
      <c r="C43" s="179" t="s">
        <v>2305</v>
      </c>
      <c r="D43" s="192">
        <v>42867</v>
      </c>
      <c r="E43" s="200" t="s">
        <v>2308</v>
      </c>
      <c r="F43" s="37" t="s">
        <v>2307</v>
      </c>
      <c r="G43" s="34"/>
    </row>
    <row r="44" spans="1:7" ht="71.400000000000006">
      <c r="A44" s="363"/>
      <c r="B44" s="191">
        <v>4.2</v>
      </c>
      <c r="C44" s="179" t="s">
        <v>2305</v>
      </c>
      <c r="D44" s="192">
        <v>42704</v>
      </c>
      <c r="E44" s="200" t="s">
        <v>2510</v>
      </c>
      <c r="F44" s="37" t="s">
        <v>2485</v>
      </c>
      <c r="G44" s="34"/>
    </row>
    <row r="45" spans="1:7" ht="132.6">
      <c r="A45" s="363"/>
      <c r="B45" s="240">
        <v>5</v>
      </c>
      <c r="C45" s="179" t="s">
        <v>2305</v>
      </c>
      <c r="D45" s="192">
        <v>42867</v>
      </c>
      <c r="E45" s="200" t="s">
        <v>12917</v>
      </c>
      <c r="F45" s="37" t="s">
        <v>12639</v>
      </c>
      <c r="G45" s="34"/>
    </row>
    <row r="46" spans="1:7" ht="30.6">
      <c r="A46" s="363"/>
      <c r="B46" s="191">
        <v>5.01</v>
      </c>
      <c r="C46" s="179" t="s">
        <v>2305</v>
      </c>
      <c r="D46" s="192">
        <v>42907</v>
      </c>
      <c r="E46" s="200" t="s">
        <v>12935</v>
      </c>
      <c r="F46" s="37" t="s">
        <v>12639</v>
      </c>
      <c r="G46" s="34"/>
    </row>
    <row r="47" spans="1:7" ht="61.2">
      <c r="A47" s="363"/>
      <c r="B47" s="191">
        <v>5.0999999999999996</v>
      </c>
      <c r="C47" s="179" t="s">
        <v>2305</v>
      </c>
      <c r="D47" s="192">
        <v>43070</v>
      </c>
      <c r="E47" s="200" t="s">
        <v>13129</v>
      </c>
      <c r="F47" s="37" t="s">
        <v>13130</v>
      </c>
      <c r="G47" s="34"/>
    </row>
    <row r="48" spans="1:7" ht="51">
      <c r="A48" s="363"/>
      <c r="B48" s="191">
        <v>5.1100000000000003</v>
      </c>
      <c r="C48" s="179" t="s">
        <v>13371</v>
      </c>
      <c r="D48" s="192">
        <v>43217</v>
      </c>
      <c r="E48" s="200" t="s">
        <v>13499</v>
      </c>
      <c r="F48" s="37" t="s">
        <v>13405</v>
      </c>
      <c r="G48" s="34"/>
    </row>
    <row r="49" spans="1:7" ht="51">
      <c r="A49" s="363"/>
      <c r="B49" s="191">
        <v>5.12</v>
      </c>
      <c r="C49" s="179" t="s">
        <v>13371</v>
      </c>
      <c r="D49" s="192">
        <v>43581</v>
      </c>
      <c r="E49" s="200" t="s">
        <v>13499</v>
      </c>
      <c r="F49" s="37" t="s">
        <v>14064</v>
      </c>
      <c r="G49" s="34"/>
    </row>
    <row r="50" spans="1:7" ht="71.400000000000006">
      <c r="A50" s="363"/>
      <c r="B50" s="240">
        <v>6</v>
      </c>
      <c r="C50" s="179" t="s">
        <v>13371</v>
      </c>
      <c r="D50" s="192">
        <v>43964</v>
      </c>
      <c r="E50" s="200" t="s">
        <v>14291</v>
      </c>
      <c r="F50" s="37" t="s">
        <v>14074</v>
      </c>
      <c r="G50" s="34"/>
    </row>
    <row r="51" spans="1:7" ht="40.799999999999997">
      <c r="A51" s="363"/>
      <c r="B51" s="191">
        <v>6.01</v>
      </c>
      <c r="C51" s="179" t="s">
        <v>13371</v>
      </c>
      <c r="D51" s="192">
        <v>43970</v>
      </c>
      <c r="E51" s="200" t="s">
        <v>15309</v>
      </c>
      <c r="F51" s="200" t="s">
        <v>14074</v>
      </c>
      <c r="G51" s="34"/>
    </row>
    <row r="52" spans="1:7" ht="40.799999999999997">
      <c r="A52" s="363"/>
      <c r="B52" s="191">
        <v>6.1</v>
      </c>
      <c r="C52" s="179" t="s">
        <v>13371</v>
      </c>
      <c r="D52" s="192">
        <v>44314</v>
      </c>
      <c r="E52" s="200" t="s">
        <v>15314</v>
      </c>
      <c r="F52" s="200" t="s">
        <v>15319</v>
      </c>
      <c r="G52" s="34"/>
    </row>
    <row r="53" spans="1:7" ht="13.2" thickBot="1">
      <c r="A53" s="364"/>
      <c r="B53" s="365" t="str">
        <f ca="1">OFFSET(L!$C$1,MATCH("General"&amp;"Cpy",L!$A:$A,0)-1,SL,,)</f>
        <v>© 2021 Responsible Minerals Initiative. All rights reserved.</v>
      </c>
      <c r="C53" s="365"/>
      <c r="D53" s="365"/>
      <c r="E53" s="365"/>
      <c r="F53" s="365"/>
      <c r="G53" s="35"/>
    </row>
    <row r="54" spans="1:7" ht="13.2"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baseColWidth="10" defaultColWidth="8.81640625" defaultRowHeight="12.6"/>
  <cols>
    <col min="1" max="1" width="20.6328125" style="76" customWidth="1"/>
    <col min="2" max="2" width="57.1796875" style="76" customWidth="1"/>
    <col min="3" max="16384" width="8.8164062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5002B88-5234-405D-8033-5E2F6D9CD78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baseColWidth="10" defaultColWidth="8.81640625" defaultRowHeight="12.6"/>
  <cols>
    <col min="1" max="1" width="11.1796875" customWidth="1"/>
    <col min="2" max="2" width="25.7265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59FAFC34-C98B-4C28-B330-30DE6F45D26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2.4">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5.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6.2">
      <c r="A5" s="125"/>
      <c r="B5" s="114"/>
    </row>
    <row r="6" spans="1:2" ht="32.4">
      <c r="A6" s="124" t="str">
        <f ca="1">OFFSET(L!$C$1,MATCH("Instructions"&amp;ADDRESS(ROW(),COLUMN(),4),L!$A:$A,0)-1,SL,,)</f>
        <v>Instructions for completing Company Information questions (rows 8 - 22).
Provide comments in ENGLISH only</v>
      </c>
      <c r="B6" s="114" t="s">
        <v>1304</v>
      </c>
    </row>
    <row r="7" spans="1:2" ht="16.2">
      <c r="A7" s="289"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37.95"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1304</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1304</v>
      </c>
    </row>
    <row r="24" spans="1:2" ht="80.5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2.4">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6.2">
      <c r="A47" s="125"/>
      <c r="B47" s="114"/>
    </row>
    <row r="48" spans="1:2" ht="32.4">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5" customHeight="1">
      <c r="A52" s="121" t="str">
        <f ca="1">OFFSET(L!$C$1,MATCH("Instructions"&amp;ADDRESS(ROW(),COLUMN(),4),L!$A:$A,0)-1,SL,,)</f>
        <v>2. Metal (*)   -   Use the pull down menu to select the metal for which you are entering smelter information.  This field is mandatory.</v>
      </c>
      <c r="B52" s="114"/>
    </row>
    <row r="53" spans="1:2" ht="79.0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4.8">
      <c r="A58" s="121" t="str">
        <f ca="1">OFFSET(L!$C$1,MATCH("Instructions"&amp;ADDRESS(ROW(),COLUMN(),4),L!$A:$A,0)-1,SL,,)</f>
        <v>8. Smelter Street -  Provide the street name on which the smelter is located. This field is optional.</v>
      </c>
      <c r="B58" s="114" t="s">
        <v>1303</v>
      </c>
    </row>
    <row r="59" spans="1:2" ht="32.4">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0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80.5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05000000000001"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81">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2.4">
      <c r="A74" s="121"/>
      <c r="B74" s="114" t="s">
        <v>441</v>
      </c>
    </row>
    <row r="75" spans="1:2" ht="16.2">
      <c r="A75" s="121" t="str">
        <f ca="1">OFFSET(L!$C$1,MATCH("General"&amp;"Cpy",L!$A:$A,0)-1,SL,,)</f>
        <v>© 2021 Responsible Minerals Initiative. All rights reserved.</v>
      </c>
      <c r="B75" s="115"/>
    </row>
    <row r="76" spans="1:2" ht="16.2">
      <c r="A76" s="122" t="s">
        <v>1035</v>
      </c>
      <c r="B76" s="115"/>
    </row>
    <row r="77" spans="1:2" ht="16.8"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4.0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8.6">
      <c r="A10" s="87"/>
      <c r="B10" s="74" t="str">
        <f ca="1">OFFSET(L!$C$1,MATCH("Definitions"&amp;ADDRESS(ROW(),COLUMN(),4),L!$A:$A,0)-1,SL,,)</f>
        <v>DRC</v>
      </c>
      <c r="C10" s="74" t="str">
        <f ca="1">OFFSET(L!$C$1,MATCH("Definitions"&amp;ADDRESS(ROW(),COLUMN(),4),L!$A:$A,0)-1,SL,,)</f>
        <v>Democratic Republic of Congo</v>
      </c>
      <c r="D10" s="382"/>
      <c r="E10" s="128" t="s">
        <v>1312</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55000000000001"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78.2">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6.2">
      <c r="A19" s="87"/>
      <c r="B19" s="74" t="str">
        <f ca="1">OFFSET(L!$C$1,MATCH("Definitions"&amp;ADDRESS(ROW(),COLUMN(),4),L!$A:$A,0)-1,SL,,)</f>
        <v>OECD</v>
      </c>
      <c r="C19" s="74" t="str">
        <f ca="1">OFFSET(L!$C$1,MATCH("Definitions"&amp;ADDRESS(ROW(),COLUMN(),4),L!$A:$A,0)-1,SL,,)</f>
        <v>Organisation for Economic Co-operation and Development</v>
      </c>
      <c r="D19" s="382"/>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6.2">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4.05000000000001"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81">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6.0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6.2">
      <c r="A32" s="87"/>
      <c r="B32" s="381" t="str">
        <f ca="1">OFFSET(L!$C$1,MATCH("General"&amp;"Cpy",L!$A:$A,0)-1,SL,,)</f>
        <v>© 2021 Responsible Minerals Initiative. All rights reserved.</v>
      </c>
      <c r="C32" s="381"/>
      <c r="D32" s="382"/>
      <c r="E32" s="128"/>
    </row>
    <row r="33" spans="1:4" ht="13.2" thickBot="1">
      <c r="A33" s="88"/>
      <c r="B33" s="183"/>
      <c r="C33" s="183"/>
      <c r="D33" s="383"/>
    </row>
    <row r="34" spans="1:4" ht="13.2"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72" zoomScalePageLayoutView="70" workbookViewId="0">
      <selection activeCell="G83" sqref="G83:J83"/>
    </sheetView>
  </sheetViews>
  <sheetFormatPr baseColWidth="10"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8"/>
      <c r="G3" s="428"/>
      <c r="H3" s="428"/>
      <c r="I3" s="182"/>
      <c r="J3" s="167" t="s">
        <v>15318</v>
      </c>
      <c r="K3" s="47"/>
      <c r="L3" s="139"/>
      <c r="M3" s="130"/>
      <c r="N3" s="130"/>
      <c r="O3" s="131"/>
      <c r="P3" s="144">
        <f>MATCH($D$3,LN,0)</f>
        <v>1</v>
      </c>
    </row>
    <row r="4" spans="1:34" ht="16.2">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049999999999997" customHeight="1">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21" t="s">
        <v>15606</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30" t="s">
        <v>494</v>
      </c>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49999999999997" customHeight="1">
      <c r="A10" s="49"/>
      <c r="B10" s="434" t="str">
        <f ca="1">OFFSET(L!$C$1,MATCH("Declaration"&amp;ADDRESS(ROW(),COLUMN(),4)&amp;LEFT($D$9,1),L!$A:$A,0)-1,SL,,)</f>
        <v>Description of Scope:</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35"/>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408" t="s">
        <v>15607</v>
      </c>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408" t="s">
        <v>15608</v>
      </c>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408" t="s">
        <v>15609</v>
      </c>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408" t="s">
        <v>15610</v>
      </c>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36" t="s">
        <v>15611</v>
      </c>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408" t="s">
        <v>15612</v>
      </c>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408" t="s">
        <v>15610</v>
      </c>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408" t="s">
        <v>15613</v>
      </c>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36" t="s">
        <v>15611</v>
      </c>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2"/>
      <c r="D21" s="454" t="s">
        <v>15612</v>
      </c>
      <c r="E21" s="455"/>
      <c r="F21" s="455"/>
      <c r="G21" s="455"/>
      <c r="H21" s="455"/>
      <c r="I21" s="455"/>
      <c r="J21" s="456"/>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439">
        <v>44390</v>
      </c>
      <c r="E22" s="440"/>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441" t="str">
        <f ca="1">OFFSET(L!$C$1,MATCH("Declaration"&amp;ADDRESS(ROW(),COLUMN(),4),L!$A:$A,0)-1,SL,,)</f>
        <v>Answer the following questions 1 - 8 based on the declaration scope indicated above</v>
      </c>
      <c r="C24" s="441"/>
      <c r="D24" s="441"/>
      <c r="E24" s="441"/>
      <c r="F24" s="441"/>
      <c r="G24" s="441"/>
      <c r="H24" s="441"/>
      <c r="I24" s="441"/>
      <c r="J24" s="44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 xml:space="preserve">Tin  </v>
      </c>
      <c r="C27" s="46"/>
      <c r="D27" s="384" t="s">
        <v>489</v>
      </c>
      <c r="E27" s="385"/>
      <c r="F27" s="15"/>
      <c r="G27" s="386"/>
      <c r="H27" s="387"/>
      <c r="I27" s="387"/>
      <c r="J27" s="388"/>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 xml:space="preserve">Gold  </v>
      </c>
      <c r="C28" s="46"/>
      <c r="D28" s="384" t="s">
        <v>489</v>
      </c>
      <c r="E28" s="385"/>
      <c r="F28" s="15"/>
      <c r="G28" s="386"/>
      <c r="H28" s="387"/>
      <c r="I28" s="387"/>
      <c r="J28" s="38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v>
      </c>
      <c r="C31" s="13"/>
      <c r="D31" s="404" t="str">
        <f ca="1">D25</f>
        <v>Answer</v>
      </c>
      <c r="E31" s="404"/>
      <c r="F31" s="21"/>
      <c r="G31" s="55" t="str">
        <f ca="1">G25</f>
        <v>Comments</v>
      </c>
      <c r="H31" s="55"/>
      <c r="I31" s="55"/>
      <c r="J31" s="96"/>
      <c r="K31" s="47"/>
      <c r="L31" s="136" t="s">
        <v>1243</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402"/>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 xml:space="preserve">Tin  </v>
      </c>
      <c r="C33" s="13"/>
      <c r="D33" s="384"/>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 xml:space="preserve">Gold  </v>
      </c>
      <c r="C34" s="13"/>
      <c r="D34" s="384"/>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v>
      </c>
      <c r="C37" s="13"/>
      <c r="D37" s="404" t="str">
        <f ca="1">D25</f>
        <v>Answer</v>
      </c>
      <c r="E37" s="404"/>
      <c r="F37" s="21"/>
      <c r="G37" s="55" t="str">
        <f ca="1">G25</f>
        <v>Comments</v>
      </c>
      <c r="H37" s="407"/>
      <c r="I37" s="407"/>
      <c r="J37" s="407"/>
      <c r="K37" s="47"/>
      <c r="L37" s="136" t="s">
        <v>1243</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 xml:space="preserve">Tin  </v>
      </c>
      <c r="C39" s="13"/>
      <c r="D39" s="384"/>
      <c r="E39" s="385"/>
      <c r="F39" s="58"/>
      <c r="G39" s="386"/>
      <c r="H39" s="387"/>
      <c r="I39" s="387"/>
      <c r="J39" s="388"/>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 xml:space="preserve">Gold  </v>
      </c>
      <c r="C40" s="13"/>
      <c r="D40" s="384"/>
      <c r="E40" s="385"/>
      <c r="F40" s="58"/>
      <c r="G40" s="386"/>
      <c r="H40" s="387"/>
      <c r="I40" s="387"/>
      <c r="J40" s="38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v>
      </c>
      <c r="C43" s="13"/>
      <c r="D43" s="404" t="str">
        <f ca="1">D25</f>
        <v>Answer</v>
      </c>
      <c r="E43" s="404"/>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84"/>
      <c r="E45" s="385"/>
      <c r="F45" s="58"/>
      <c r="G45" s="386"/>
      <c r="H45" s="387"/>
      <c r="I45" s="387"/>
      <c r="J45" s="388"/>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4"/>
      <c r="E46" s="385"/>
      <c r="F46" s="58"/>
      <c r="G46" s="386"/>
      <c r="H46" s="387"/>
      <c r="I46" s="387"/>
      <c r="J46" s="38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 xml:space="preserve">Tin  </v>
      </c>
      <c r="C51" s="13"/>
      <c r="D51" s="384"/>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 xml:space="preserve">Gold  </v>
      </c>
      <c r="C52" s="13"/>
      <c r="D52" s="384"/>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 xml:space="preserve">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46"/>
      <c r="D56" s="405"/>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 xml:space="preserve">Tin  </v>
      </c>
      <c r="C57" s="46"/>
      <c r="D57" s="405"/>
      <c r="E57" s="406"/>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 xml:space="preserve">Gold  </v>
      </c>
      <c r="C58" s="46"/>
      <c r="D58" s="405"/>
      <c r="E58" s="406"/>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46"/>
      <c r="D59" s="405"/>
      <c r="E59" s="406"/>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 xml:space="preserve">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13"/>
      <c r="D62" s="402"/>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 xml:space="preserve">Tin  </v>
      </c>
      <c r="C63" s="13"/>
      <c r="D63" s="384"/>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 xml:space="preserve">Gold  </v>
      </c>
      <c r="C64" s="13"/>
      <c r="D64" s="384"/>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 xml:space="preserve">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 xml:space="preserve">Tin  </v>
      </c>
      <c r="C69" s="46"/>
      <c r="D69" s="384"/>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 xml:space="preserve">Gold  </v>
      </c>
      <c r="C70" s="46"/>
      <c r="D70" s="384"/>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84" t="s">
        <v>489</v>
      </c>
      <c r="E77" s="385"/>
      <c r="F77" s="68"/>
      <c r="G77" s="412"/>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84" t="s">
        <v>489</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84" t="s">
        <v>12606</v>
      </c>
      <c r="E83" s="385"/>
      <c r="F83" s="68"/>
      <c r="G83" s="386" t="s">
        <v>15614</v>
      </c>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393" t="s">
        <v>488</v>
      </c>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84" t="s">
        <v>489</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12" priority="70" stopIfTrue="1">
      <formula>AND(OR($D$26="No",AND($D$26="Yes",$D$32="No")),OR($D$27="No",AND($D$27="Yes",$D$33="No")),OR($D$28="No",AND($D$28="Yes",$D$34="No")),OR($D$29="No",AND($D$29="Yes",$D$35="No")))</formula>
    </cfRule>
    <cfRule type="expression" dxfId="111" priority="71" stopIfTrue="1">
      <formula>IF(D75="",TRUE)</formula>
    </cfRule>
  </conditionalFormatting>
  <conditionalFormatting sqref="G77:J77">
    <cfRule type="expression" dxfId="110" priority="42" stopIfTrue="1">
      <formula>IF(AND($D$77="Yes",$G$77=""),TRUE)</formula>
    </cfRule>
  </conditionalFormatting>
  <conditionalFormatting sqref="D26:E26">
    <cfRule type="expression" dxfId="109" priority="122" stopIfTrue="1">
      <formula>IF($D$26="",TRUE)</formula>
    </cfRule>
  </conditionalFormatting>
  <conditionalFormatting sqref="D27:E27">
    <cfRule type="expression" dxfId="108" priority="129" stopIfTrue="1">
      <formula>IF($D$27="",TRUE)</formula>
    </cfRule>
  </conditionalFormatting>
  <conditionalFormatting sqref="D28:E28">
    <cfRule type="expression" dxfId="107" priority="130" stopIfTrue="1">
      <formula>IF($D$28="",TRUE)</formula>
    </cfRule>
  </conditionalFormatting>
  <conditionalFormatting sqref="D29:E29">
    <cfRule type="expression" dxfId="106" priority="131" stopIfTrue="1">
      <formula>IF($D$29="",TRUE)</formula>
    </cfRule>
  </conditionalFormatting>
  <conditionalFormatting sqref="D8:J8">
    <cfRule type="expression" dxfId="105" priority="136" stopIfTrue="1">
      <formula>IF($D$8="",TRUE)</formula>
    </cfRule>
  </conditionalFormatting>
  <conditionalFormatting sqref="D9:G9">
    <cfRule type="expression" dxfId="104" priority="137" stopIfTrue="1">
      <formula>IF($D$9="",TRUE)</formula>
    </cfRule>
  </conditionalFormatting>
  <conditionalFormatting sqref="D22:E22">
    <cfRule type="expression" dxfId="99" priority="144" stopIfTrue="1">
      <formula>IF($D$22="",TRUE)</formula>
    </cfRule>
  </conditionalFormatting>
  <conditionalFormatting sqref="D10:J10">
    <cfRule type="expression" dxfId="98" priority="41" stopIfTrue="1">
      <formula>IF($D$9=$Q$9,TRUE)</formula>
    </cfRule>
    <cfRule type="expression" dxfId="97" priority="151" stopIfTrue="1">
      <formula>IF(AND($D$10="",$D$9=$R$9),TRUE)</formula>
    </cfRule>
  </conditionalFormatting>
  <conditionalFormatting sqref="D34:E34 D40:E40 D52:E52 D58:E58 D64:E64 D70:E70">
    <cfRule type="expression" dxfId="96" priority="34" stopIfTrue="1">
      <formula>$P$28=""</formula>
    </cfRule>
  </conditionalFormatting>
  <conditionalFormatting sqref="D35:E35 D41:E41 D53:E53 D59:E59 D65:E65 D71:E71">
    <cfRule type="expression" dxfId="95" priority="149" stopIfTrue="1">
      <formula>$P$29=""</formula>
    </cfRule>
  </conditionalFormatting>
  <conditionalFormatting sqref="D32:E32">
    <cfRule type="expression" dxfId="94" priority="127" stopIfTrue="1">
      <formula>$P$26=""</formula>
    </cfRule>
  </conditionalFormatting>
  <conditionalFormatting sqref="D32:E32">
    <cfRule type="expression" dxfId="93" priority="40" stopIfTrue="1">
      <formula>IF(AND(OR($D$26="Yes",$D$26=""),$D$32=""),1,0)</formula>
    </cfRule>
  </conditionalFormatting>
  <conditionalFormatting sqref="D38 D50 D56 D62 D68">
    <cfRule type="expression" dxfId="92" priority="36" stopIfTrue="1">
      <formula>$P$32=""</formula>
    </cfRule>
  </conditionalFormatting>
  <conditionalFormatting sqref="D39:E39 D51 D57 D63 D69">
    <cfRule type="expression" dxfId="91" priority="35" stopIfTrue="1">
      <formula>$P$33=""</formula>
    </cfRule>
  </conditionalFormatting>
  <conditionalFormatting sqref="D40 D52 D58 D64 D70">
    <cfRule type="expression" dxfId="90" priority="25" stopIfTrue="1">
      <formula>$P$34=""</formula>
    </cfRule>
    <cfRule type="expression" dxfId="89" priority="147" stopIfTrue="1">
      <formula>IF(AND(OR($D$28="Yes",$D$28=""),D40=""),1,0)</formula>
    </cfRule>
  </conditionalFormatting>
  <conditionalFormatting sqref="D41 D53 D59 D65 D71">
    <cfRule type="expression" dxfId="88" priority="33" stopIfTrue="1">
      <formula>$P$35=""</formula>
    </cfRule>
  </conditionalFormatting>
  <conditionalFormatting sqref="D38:E38 D50:E50 D56:E56 D62:E62 D68:E68">
    <cfRule type="expression" dxfId="87" priority="38" stopIfTrue="1">
      <formula>$P$26=""</formula>
    </cfRule>
    <cfRule type="expression" dxfId="86" priority="39" stopIfTrue="1">
      <formula>IF(AND(OR($D$26="Yes",$D$26=""),D38=""),1,0)</formula>
    </cfRule>
  </conditionalFormatting>
  <conditionalFormatting sqref="G85:J85">
    <cfRule type="expression" dxfId="85" priority="32" stopIfTrue="1">
      <formula>IF(AND($D$85="Yes, using other format (describe)",$G$85=""),TRUE)</formula>
    </cfRule>
  </conditionalFormatting>
  <conditionalFormatting sqref="D39:E39 D51:E51 D57:E57 D63:E63 D69:E69">
    <cfRule type="expression" dxfId="84" priority="145" stopIfTrue="1">
      <formula>$P$39=""</formula>
    </cfRule>
    <cfRule type="expression" dxfId="83" priority="146" stopIfTrue="1">
      <formula>IF(AND(OR($D$27="Yes",$D$27=""),D39=""),1,0)</formula>
    </cfRule>
  </conditionalFormatting>
  <conditionalFormatting sqref="D33:E33">
    <cfRule type="expression" dxfId="82" priority="27" stopIfTrue="1">
      <formula>IF(AND(OR($D$27="Yes",$D$27=""),$D$33=""),1,0)</formula>
    </cfRule>
    <cfRule type="expression" dxfId="81" priority="28" stopIfTrue="1">
      <formula>$P$27=""</formula>
    </cfRule>
  </conditionalFormatting>
  <conditionalFormatting sqref="D34:E34">
    <cfRule type="expression" dxfId="80" priority="148" stopIfTrue="1">
      <formula>IF(AND(OR($D$28="Yes",$D$28=""),$D$34=""),1,0)</formula>
    </cfRule>
  </conditionalFormatting>
  <conditionalFormatting sqref="D41:E41 D53:E53 D59:E59 D65:E65 D71:E71">
    <cfRule type="expression" dxfId="79" priority="150" stopIfTrue="1">
      <formula>IF(AND(OR($D$29="Yes",$D$29=""),D41=""),1,0)</formula>
    </cfRule>
  </conditionalFormatting>
  <conditionalFormatting sqref="D35:E35">
    <cfRule type="expression" dxfId="78" priority="24" stopIfTrue="1">
      <formula>IF(AND(OR($D$29="Yes",$D$29=""),$D$35=""),1,0)</formula>
    </cfRule>
  </conditionalFormatting>
  <conditionalFormatting sqref="D46:E46">
    <cfRule type="expression" dxfId="76" priority="10" stopIfTrue="1">
      <formula>$P$28=""</formula>
    </cfRule>
  </conditionalFormatting>
  <conditionalFormatting sqref="D47:E47">
    <cfRule type="expression" dxfId="75" priority="18" stopIfTrue="1">
      <formula>$P$29=""</formula>
    </cfRule>
  </conditionalFormatting>
  <conditionalFormatting sqref="D44">
    <cfRule type="expression" dxfId="74" priority="12" stopIfTrue="1">
      <formula>$P$32=""</formula>
    </cfRule>
  </conditionalFormatting>
  <conditionalFormatting sqref="D45">
    <cfRule type="expression" dxfId="73" priority="11" stopIfTrue="1">
      <formula>$P$33=""</formula>
    </cfRule>
  </conditionalFormatting>
  <conditionalFormatting sqref="D46">
    <cfRule type="expression" dxfId="72" priority="8" stopIfTrue="1">
      <formula>$P$34=""</formula>
    </cfRule>
    <cfRule type="expression" dxfId="71" priority="17" stopIfTrue="1">
      <formula>IF(AND(OR($D$28="Yes",$D$28=""),D46=""),1,0)</formula>
    </cfRule>
  </conditionalFormatting>
  <conditionalFormatting sqref="D47">
    <cfRule type="expression" dxfId="70" priority="9" stopIfTrue="1">
      <formula>$P$35=""</formula>
    </cfRule>
  </conditionalFormatting>
  <conditionalFormatting sqref="D44:E44">
    <cfRule type="expression" dxfId="69" priority="13" stopIfTrue="1">
      <formula>$P$26=""</formula>
    </cfRule>
    <cfRule type="expression" dxfId="68" priority="14" stopIfTrue="1">
      <formula>IF(AND(OR($D$26="Yes",$D$26=""),D44=""),1,0)</formula>
    </cfRule>
  </conditionalFormatting>
  <conditionalFormatting sqref="D45:E45">
    <cfRule type="expression" dxfId="67" priority="15" stopIfTrue="1">
      <formula>$P$39=""</formula>
    </cfRule>
    <cfRule type="expression" dxfId="66" priority="16" stopIfTrue="1">
      <formula>IF(AND(OR($D$27="Yes",$D$27=""),D45=""),1,0)</formula>
    </cfRule>
  </conditionalFormatting>
  <conditionalFormatting sqref="D47:E47">
    <cfRule type="expression" dxfId="65" priority="19" stopIfTrue="1">
      <formula>IF(AND(OR($D$29="Yes",$D$29=""),D47=""),1,0)</formula>
    </cfRule>
  </conditionalFormatting>
  <conditionalFormatting sqref="D15:J15">
    <cfRule type="expression" dxfId="6" priority="4" stopIfTrue="1">
      <formula>IF($D$15="",TRUE)</formula>
    </cfRule>
  </conditionalFormatting>
  <conditionalFormatting sqref="D16:J16">
    <cfRule type="expression" dxfId="5" priority="5" stopIfTrue="1">
      <formula>IF($D$16="",TRUE)</formula>
    </cfRule>
  </conditionalFormatting>
  <conditionalFormatting sqref="D17:J17">
    <cfRule type="expression" dxfId="4" priority="6" stopIfTrue="1">
      <formula>IF($D$17="",TRUE)</formula>
    </cfRule>
  </conditionalFormatting>
  <conditionalFormatting sqref="D18:J18">
    <cfRule type="expression" dxfId="3" priority="7" stopIfTrue="1">
      <formula>IF($D$18="",TRUE)</formula>
    </cfRule>
  </conditionalFormatting>
  <conditionalFormatting sqref="D20:J20">
    <cfRule type="expression" dxfId="2" priority="3" stopIfTrue="1">
      <formula>IF($D$20="",TRUE)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8705BB8-0E15-4266-80A2-CDAEEC2CEB45}"/>
    <hyperlink ref="D20" r:id="rId4" xr:uid="{D763C1B5-BB49-465D-9ADE-1E3D0C9039C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
    </sheetView>
  </sheetViews>
  <sheetFormatPr baseColWidth="10" defaultColWidth="8.81640625" defaultRowHeight="12.6"/>
  <cols>
    <col min="1" max="1" width="13.6328125" style="272" customWidth="1"/>
    <col min="2" max="2" width="13.36328125" style="277" customWidth="1"/>
    <col min="3" max="3" width="40.6328125" style="277" customWidth="1"/>
    <col min="4" max="4" width="30.6328125" style="277" customWidth="1"/>
    <col min="5" max="5" width="20.81640625" style="277" customWidth="1"/>
    <col min="6" max="7" width="13.81640625" style="277" customWidth="1"/>
    <col min="8" max="8" width="25.1796875" style="277" customWidth="1"/>
    <col min="9" max="9" width="24.1796875" style="277" customWidth="1"/>
    <col min="10" max="10" width="18.36328125" style="277" customWidth="1"/>
    <col min="11" max="11" width="27.36328125" style="277" customWidth="1"/>
    <col min="12" max="12" width="20.6328125" style="277" customWidth="1"/>
    <col min="13" max="13" width="35.1796875" style="277" customWidth="1"/>
    <col min="14" max="14" width="42.1796875" style="277" customWidth="1"/>
    <col min="15" max="15" width="32.1796875" style="277" customWidth="1"/>
    <col min="16" max="16" width="22.81640625" style="277" customWidth="1"/>
    <col min="17" max="17" width="43.6328125" style="277" customWidth="1"/>
    <col min="18" max="18" width="35.81640625" style="277" hidden="1" customWidth="1"/>
    <col min="19" max="20" width="17.81640625" style="277" hidden="1" customWidth="1"/>
    <col min="21" max="21" width="8.81640625" style="276" hidden="1" customWidth="1"/>
    <col min="22" max="22" width="6.1796875" style="276" hidden="1" customWidth="1"/>
    <col min="23" max="23" width="8.6328125" style="276" hidden="1" customWidth="1"/>
    <col min="24" max="24" width="8.81640625" style="276" hidden="1" customWidth="1"/>
    <col min="25" max="26" width="4.36328125" style="276" hidden="1" customWidth="1"/>
    <col min="27" max="27" width="4.36328125" style="277" hidden="1" customWidth="1"/>
    <col min="28" max="28" width="7.81640625" style="277" hidden="1" customWidth="1"/>
    <col min="29" max="33" width="4.36328125" style="277" hidden="1" customWidth="1"/>
    <col min="34" max="34" width="14.6328125" style="277" hidden="1" customWidth="1"/>
    <col min="35" max="39" width="8.81640625" style="277" customWidth="1"/>
    <col min="40" max="16384" width="8.81640625" style="277"/>
  </cols>
  <sheetData>
    <row r="1" spans="1:34" s="264" customFormat="1" ht="16.0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8.2">
      <c r="A2" s="201"/>
      <c r="B2" s="220" t="str">
        <f ca="1">OFFSET(L!$C$1,MATCH("Smelter List"&amp;ADDRESS(ROW(),COLUMN(),4),L!$A:$A,0)-1,SL,,)</f>
        <v>TO BEGIN:</v>
      </c>
      <c r="C2" s="203"/>
      <c r="D2" s="203"/>
      <c r="E2" s="203"/>
      <c r="F2" s="229"/>
      <c r="G2" s="229"/>
      <c r="H2" s="229"/>
      <c r="I2" s="230"/>
      <c r="J2" s="442" t="str">
        <f ca="1">OFFSET(L!$C$1,MATCH("Smelter List"&amp;ADDRESS(ROW(),COLUMN(),4),L!$A:$A,0)-1,SL,,)</f>
        <v>Link to "RMAP Conformant Smelter List"</v>
      </c>
      <c r="K2" s="443"/>
      <c r="L2" s="443"/>
      <c r="M2" s="443"/>
      <c r="N2" s="443"/>
      <c r="O2" s="443"/>
      <c r="P2" s="231"/>
      <c r="Q2" s="232"/>
      <c r="R2" s="233"/>
      <c r="S2" s="233"/>
      <c r="T2" s="233"/>
      <c r="U2" s="262"/>
      <c r="V2" s="262"/>
      <c r="W2" s="263"/>
      <c r="X2" s="262"/>
      <c r="Y2" s="262"/>
      <c r="Z2" s="262"/>
      <c r="AH2" s="174" t="s">
        <v>488</v>
      </c>
    </row>
    <row r="3" spans="1:34" s="264" customFormat="1" ht="274.05" customHeight="1">
      <c r="A3" s="202"/>
      <c r="B3" s="44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4"/>
      <c r="D3" s="444"/>
      <c r="E3" s="444"/>
      <c r="F3" s="265"/>
      <c r="G3" s="445" t="str">
        <f ca="1">OFFSET(L!$C$1,MATCH("General"&amp;"Cpy",L!$A:$A,0)-1,SL,,)</f>
        <v>© 2021 Responsible Minerals Initiative. All rights reserved.</v>
      </c>
      <c r="H3" s="445"/>
      <c r="I3" s="446"/>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19.95" customHeight="1">
      <c r="A5" s="324"/>
      <c r="B5" s="215" t="str">
        <f>IF(LEN(A5)=0,"",INDEX('Smelter Look-up'!$A:$A,MATCH($A5,'Smelter Look-up'!$E:$E,0)))</f>
        <v/>
      </c>
      <c r="C5" s="219" t="str">
        <f>IF(LEN(A5)=0,"",INDEX('Smelter Look-up'!$C:$C,MATCH($A5,'Smelter Look-up'!$E:$E,0)))</f>
        <v/>
      </c>
      <c r="D5" s="278"/>
      <c r="E5" s="215" t="str">
        <f ca="1">IF(ISERROR($V5),"",OFFSET('Smelter Look-up'!$D$4,$V5-4,0)&amp;"")</f>
        <v/>
      </c>
      <c r="F5" s="215" t="str">
        <f ca="1">IF(ISERROR($V5),"",OFFSET('Smelter Look-up'!$E$4,$V5-4,0))</f>
        <v/>
      </c>
      <c r="G5" s="215" t="str">
        <f ca="1">IF(C5=$X$4,"Enter smelter details",IF(ISERROR($V5),"",OFFSET('Smelter Look-up'!$F$4,$V5-4,0)))</f>
        <v/>
      </c>
      <c r="H5" s="216" t="str">
        <f ca="1">IF(ISERROR($V5),"",OFFSET('Smelter Look-up'!$G$4,$V5-4,0))</f>
        <v/>
      </c>
      <c r="I5" s="217" t="str">
        <f ca="1">IF(ISERROR($V5),"",OFFSET('Smelter Look-up'!$H$4,$V5-4,0))</f>
        <v/>
      </c>
      <c r="J5" s="217" t="str">
        <f ca="1">IF(ISERROR($V5),"",OFFSET('Smelter Look-up'!$I$4,$V5-4,0))</f>
        <v/>
      </c>
      <c r="K5" s="268"/>
      <c r="L5" s="268"/>
      <c r="M5" s="268"/>
      <c r="N5" s="268"/>
      <c r="O5" s="268"/>
      <c r="P5" s="218"/>
      <c r="Q5" s="269"/>
      <c r="R5" s="215" t="str">
        <f ca="1">IF(ISERROR($V5),"",OFFSET('Smelter Look-up'!$C$4,$V5-4,0)&amp;"")</f>
        <v/>
      </c>
      <c r="S5" s="222" t="str">
        <f t="shared" ref="S5" ca="1" si="0">IF(B5="","",IF(ISERROR(MATCH($E5,CL,0)),"Unknown",INDIRECT("'C'!$A$"&amp;MATCH($E5,CL,0)+1)))</f>
        <v/>
      </c>
      <c r="T5" s="222" t="str">
        <f ca="1">IF(B5="","",IF(ISERROR(MATCH($J5,SorP!$B$1:$B$6230,0)),"",INDIRECT("'SorP'!$A$"&amp;MATCH($J5,SorP!$B$1:$B$6230,0))))</f>
        <v/>
      </c>
      <c r="U5" s="238"/>
      <c r="V5" s="270" t="e">
        <f>IF(C5="",NA(),MATCH($B5&amp;$C5,'Smelter Look-up'!$J:$J,0))</f>
        <v>#N/A</v>
      </c>
      <c r="W5" s="271"/>
      <c r="X5" s="271">
        <f t="shared" ref="X5" ca="1" si="1">IF(AND(C5="Smelter not listed",OR(LEN(D5)=0,LEN(E5)=0)),1,0)</f>
        <v>0</v>
      </c>
      <c r="Y5" s="271"/>
      <c r="Z5" s="271"/>
      <c r="AB5" s="273" t="str">
        <f t="shared" ref="AB5" si="2">B5&amp;C5</f>
        <v/>
      </c>
    </row>
    <row r="6" spans="1:34" s="272" customFormat="1" ht="19.95" customHeight="1">
      <c r="A6" s="324"/>
      <c r="B6" s="215" t="str">
        <f>IF(LEN(A6)=0,"",INDEX('Smelter Look-up'!$A:$A,MATCH($A6,'Smelter Look-up'!$E:$E,0)))</f>
        <v/>
      </c>
      <c r="C6" s="219" t="str">
        <f>IF(LEN(A6)=0,"",INDEX('Smelter Look-up'!$C:$C,MATCH($A6,'Smelter Look-up'!$E:$E,0)))</f>
        <v/>
      </c>
      <c r="D6" s="278"/>
      <c r="E6" s="215" t="str">
        <f ca="1">IF(ISERROR($V6),"",OFFSET('Smelter Look-up'!$D$4,$V6-4,0)&amp;"")</f>
        <v/>
      </c>
      <c r="F6" s="215" t="str">
        <f ca="1">IF(ISERROR($V6),"",OFFSET('Smelter Look-up'!$E$4,$V6-4,0))</f>
        <v/>
      </c>
      <c r="G6" s="215" t="str">
        <f ca="1">IF(C6=$X$4,"Enter smelter details",IF(ISERROR($V6),"",OFFSET('Smelter Look-up'!$F$4,$V6-4,0)))</f>
        <v/>
      </c>
      <c r="H6" s="216" t="str">
        <f ca="1">IF(ISERROR($V6),"",OFFSET('Smelter Look-up'!$G$4,$V6-4,0))</f>
        <v/>
      </c>
      <c r="I6" s="217" t="str">
        <f ca="1">IF(ISERROR($V6),"",OFFSET('Smelter Look-up'!$H$4,$V6-4,0))</f>
        <v/>
      </c>
      <c r="J6" s="217" t="str">
        <f ca="1">IF(ISERROR($V6),"",OFFSET('Smelter Look-up'!$I$4,$V6-4,0))</f>
        <v/>
      </c>
      <c r="K6" s="268"/>
      <c r="L6" s="268"/>
      <c r="M6" s="268"/>
      <c r="N6" s="268"/>
      <c r="O6" s="268"/>
      <c r="P6" s="218"/>
      <c r="Q6" s="269"/>
      <c r="R6" s="215" t="str">
        <f ca="1">IF(ISERROR($V6),"",OFFSET('Smelter Look-up'!$C$4,$V6-4,0)&amp;"")</f>
        <v/>
      </c>
      <c r="S6" s="222" t="str">
        <f t="shared" ref="S6:S37" ca="1" si="3">IF(B6="","",IF(ISERROR(MATCH($E6,CL,0)),"Unknown",INDIRECT("'C'!$A$"&amp;MATCH($E6,CL,0)+1)))</f>
        <v/>
      </c>
      <c r="T6" s="222" t="str">
        <f ca="1">IF(B6="","",IF(ISERROR(MATCH($J6,SorP!$B$1:$B$6230,0)),"",INDIRECT("'SorP'!$A$"&amp;MATCH($J6,SorP!$B$1:$B$6230,0))))</f>
        <v/>
      </c>
      <c r="U6" s="238"/>
      <c r="V6" s="270" t="e">
        <f>IF(C6="",NA(),MATCH($B6&amp;$C6,'Smelter Look-up'!$J:$J,0))</f>
        <v>#N/A</v>
      </c>
      <c r="W6" s="271"/>
      <c r="X6" s="271">
        <f t="shared" ref="X6:X37" ca="1" si="4">IF(AND(C6="Smelter not listed",OR(LEN(D6)=0,LEN(E6)=0)),1,0)</f>
        <v>0</v>
      </c>
      <c r="Y6" s="271"/>
      <c r="Z6" s="271"/>
      <c r="AB6" s="273" t="str">
        <f t="shared" ref="AB6:AB37" si="5">B6&amp;C6</f>
        <v/>
      </c>
    </row>
    <row r="7" spans="1:34" s="272" customFormat="1" ht="19.95" customHeight="1">
      <c r="A7" s="324"/>
      <c r="B7" s="215" t="str">
        <f>IF(LEN(A7)=0,"",INDEX('Smelter Look-up'!$A:$A,MATCH($A7,'Smelter Look-up'!$E:$E,0)))</f>
        <v/>
      </c>
      <c r="C7" s="219" t="str">
        <f>IF(LEN(A7)=0,"",INDEX('Smelter Look-up'!$C:$C,MATCH($A7,'Smelter Look-up'!$E:$E,0)))</f>
        <v/>
      </c>
      <c r="D7" s="278"/>
      <c r="E7" s="215" t="str">
        <f ca="1">IF(ISERROR($V7),"",OFFSET('Smelter Look-up'!$D$4,$V7-4,0)&amp;"")</f>
        <v/>
      </c>
      <c r="F7" s="215" t="str">
        <f ca="1">IF(ISERROR($V7),"",OFFSET('Smelter Look-up'!$E$4,$V7-4,0))</f>
        <v/>
      </c>
      <c r="G7" s="215" t="str">
        <f ca="1">IF(C7=$X$4,"Enter smelter details",IF(ISERROR($V7),"",OFFSET('Smelter Look-up'!$F$4,$V7-4,0)))</f>
        <v/>
      </c>
      <c r="H7" s="216" t="str">
        <f ca="1">IF(ISERROR($V7),"",OFFSET('Smelter Look-up'!$G$4,$V7-4,0))</f>
        <v/>
      </c>
      <c r="I7" s="217" t="str">
        <f ca="1">IF(ISERROR($V7),"",OFFSET('Smelter Look-up'!$H$4,$V7-4,0))</f>
        <v/>
      </c>
      <c r="J7" s="217" t="str">
        <f ca="1">IF(ISERROR($V7),"",OFFSET('Smelter Look-up'!$I$4,$V7-4,0))</f>
        <v/>
      </c>
      <c r="K7" s="268"/>
      <c r="L7" s="268"/>
      <c r="M7" s="268"/>
      <c r="N7" s="268"/>
      <c r="O7" s="268"/>
      <c r="P7" s="218"/>
      <c r="Q7" s="269"/>
      <c r="R7" s="215" t="str">
        <f ca="1">IF(ISERROR($V7),"",OFFSET('Smelter Look-up'!$C$4,$V7-4,0)&amp;"")</f>
        <v/>
      </c>
      <c r="S7" s="222" t="str">
        <f t="shared" ca="1" si="3"/>
        <v/>
      </c>
      <c r="T7" s="222" t="str">
        <f ca="1">IF(B7="","",IF(ISERROR(MATCH($J7,SorP!$B$1:$B$6230,0)),"",INDIRECT("'SorP'!$A$"&amp;MATCH($J7,SorP!$B$1:$B$6230,0))))</f>
        <v/>
      </c>
      <c r="U7" s="238"/>
      <c r="V7" s="270" t="e">
        <f>IF(C7="",NA(),MATCH($B7&amp;$C7,'Smelter Look-up'!$J:$J,0))</f>
        <v>#N/A</v>
      </c>
      <c r="W7" s="271"/>
      <c r="X7" s="271">
        <f t="shared" ca="1" si="4"/>
        <v>0</v>
      </c>
      <c r="Y7" s="271"/>
      <c r="Z7" s="271"/>
      <c r="AB7" s="273" t="str">
        <f t="shared" si="5"/>
        <v/>
      </c>
    </row>
    <row r="8" spans="1:34" s="272" customFormat="1" ht="19.95"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ca="1" si="4"/>
        <v>0</v>
      </c>
      <c r="Y8" s="271"/>
      <c r="Z8" s="271"/>
      <c r="AB8" s="273" t="str">
        <f t="shared" si="5"/>
        <v/>
      </c>
    </row>
    <row r="9" spans="1:34" s="272" customFormat="1" ht="19.95"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19.95"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19.95"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19.95"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19.95"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19.95"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19.95"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19.95"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19.95"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19.95"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399999999999999">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399999999999999">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399999999999999">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399999999999999">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399999999999999">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399999999999999">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399999999999999">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399999999999999">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399999999999999">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399999999999999">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399999999999999">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399999999999999">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399999999999999">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399999999999999">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399999999999999">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399999999999999">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399999999999999">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399999999999999">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399999999999999">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399999999999999">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399999999999999">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399999999999999">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399999999999999">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399999999999999">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399999999999999">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399999999999999">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399999999999999">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399999999999999">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399999999999999">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399999999999999">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399999999999999">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399999999999999">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399999999999999">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399999999999999">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399999999999999">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399999999999999">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399999999999999">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399999999999999">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399999999999999">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399999999999999">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399999999999999">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399999999999999">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399999999999999">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399999999999999">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399999999999999">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399999999999999">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399999999999999">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399999999999999">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399999999999999">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399999999999999">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399999999999999">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399999999999999">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399999999999999">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399999999999999">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399999999999999">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399999999999999">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399999999999999">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399999999999999">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399999999999999">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399999999999999">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399999999999999">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399999999999999">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399999999999999">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399999999999999">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399999999999999">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399999999999999">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399999999999999">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399999999999999">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399999999999999">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399999999999999">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399999999999999">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399999999999999">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399999999999999">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399999999999999">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399999999999999">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399999999999999">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399999999999999">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399999999999999">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399999999999999">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399999999999999">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399999999999999">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399999999999999">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399999999999999">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399999999999999">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399999999999999">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399999999999999">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399999999999999">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399999999999999">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399999999999999">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399999999999999">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399999999999999">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399999999999999">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399999999999999">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399999999999999">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399999999999999">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399999999999999">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399999999999999">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399999999999999">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399999999999999">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399999999999999">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399999999999999">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399999999999999">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399999999999999">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399999999999999">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399999999999999">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399999999999999">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399999999999999">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399999999999999">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399999999999999">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399999999999999">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399999999999999">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399999999999999">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399999999999999">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399999999999999">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399999999999999">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399999999999999">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399999999999999">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399999999999999">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399999999999999">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399999999999999">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399999999999999">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399999999999999">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399999999999999">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399999999999999">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399999999999999">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399999999999999">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399999999999999">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399999999999999">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399999999999999">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399999999999999">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399999999999999">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399999999999999">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399999999999999">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399999999999999">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399999999999999">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399999999999999">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399999999999999">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399999999999999">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399999999999999">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399999999999999">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399999999999999">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399999999999999">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399999999999999">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399999999999999">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399999999999999">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399999999999999">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399999999999999">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399999999999999">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399999999999999">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399999999999999">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399999999999999">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399999999999999">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399999999999999">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399999999999999">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399999999999999">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399999999999999">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399999999999999">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399999999999999">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399999999999999">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399999999999999">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399999999999999">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399999999999999">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399999999999999">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399999999999999">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399999999999999">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399999999999999">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399999999999999">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399999999999999">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399999999999999">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399999999999999">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399999999999999">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399999999999999">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399999999999999">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399999999999999">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399999999999999">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399999999999999">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399999999999999">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399999999999999">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399999999999999">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399999999999999">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399999999999999">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399999999999999">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399999999999999">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399999999999999">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399999999999999">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399999999999999">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399999999999999">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399999999999999">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399999999999999">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399999999999999">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399999999999999">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399999999999999">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399999999999999">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399999999999999">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399999999999999">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399999999999999">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399999999999999">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399999999999999">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399999999999999">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399999999999999">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399999999999999">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399999999999999">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399999999999999">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399999999999999">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399999999999999">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399999999999999">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399999999999999">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399999999999999">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399999999999999">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399999999999999">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399999999999999">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399999999999999">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399999999999999">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399999999999999">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399999999999999">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399999999999999">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399999999999999">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399999999999999">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399999999999999">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399999999999999">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399999999999999">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399999999999999">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399999999999999">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399999999999999">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399999999999999">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399999999999999">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399999999999999">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399999999999999">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399999999999999">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399999999999999">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399999999999999">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399999999999999">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399999999999999">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399999999999999">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399999999999999">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399999999999999">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399999999999999">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399999999999999">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399999999999999">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399999999999999">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399999999999999">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399999999999999">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399999999999999">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399999999999999">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399999999999999">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399999999999999">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399999999999999">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399999999999999">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399999999999999">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399999999999999">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399999999999999">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399999999999999">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399999999999999">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399999999999999">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399999999999999">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399999999999999">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399999999999999">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399999999999999">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399999999999999">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399999999999999">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399999999999999">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399999999999999">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399999999999999">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399999999999999">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399999999999999">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399999999999999">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399999999999999">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399999999999999">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399999999999999">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399999999999999">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399999999999999">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399999999999999">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399999999999999">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399999999999999">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399999999999999">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399999999999999">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399999999999999">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399999999999999">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399999999999999">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399999999999999">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399999999999999">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399999999999999">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399999999999999">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399999999999999">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399999999999999">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399999999999999">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399999999999999">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399999999999999">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399999999999999">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399999999999999">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399999999999999">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399999999999999">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399999999999999">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399999999999999">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399999999999999">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399999999999999">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399999999999999">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399999999999999">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399999999999999">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399999999999999">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399999999999999">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399999999999999">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399999999999999">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399999999999999">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399999999999999">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399999999999999">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399999999999999">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399999999999999">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399999999999999">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399999999999999">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399999999999999">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399999999999999">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399999999999999">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399999999999999">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399999999999999">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399999999999999">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399999999999999">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399999999999999">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399999999999999">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399999999999999">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399999999999999">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399999999999999">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399999999999999">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399999999999999">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399999999999999">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399999999999999">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399999999999999">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399999999999999">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399999999999999">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399999999999999">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399999999999999">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399999999999999">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399999999999999">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399999999999999">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399999999999999">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399999999999999">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399999999999999">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399999999999999">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399999999999999">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399999999999999">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399999999999999">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399999999999999">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399999999999999">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399999999999999">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399999999999999">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399999999999999">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399999999999999">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399999999999999">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399999999999999">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399999999999999">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399999999999999">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399999999999999">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399999999999999">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399999999999999">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399999999999999">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399999999999999">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399999999999999">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399999999999999">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399999999999999">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399999999999999">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399999999999999">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399999999999999">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399999999999999">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399999999999999">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399999999999999">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399999999999999">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399999999999999">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399999999999999">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399999999999999">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399999999999999">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399999999999999">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399999999999999">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399999999999999">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399999999999999">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399999999999999">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399999999999999">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399999999999999">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399999999999999">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399999999999999">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399999999999999">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399999999999999">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399999999999999">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399999999999999">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399999999999999">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399999999999999">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399999999999999">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399999999999999">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399999999999999">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399999999999999">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399999999999999">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399999999999999">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399999999999999">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399999999999999">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399999999999999">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399999999999999">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399999999999999">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399999999999999">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399999999999999">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399999999999999">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399999999999999">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399999999999999">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399999999999999">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399999999999999">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399999999999999">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399999999999999">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399999999999999">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399999999999999">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399999999999999">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399999999999999">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399999999999999">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399999999999999">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399999999999999">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399999999999999">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399999999999999">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399999999999999">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399999999999999">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399999999999999">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399999999999999">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399999999999999">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399999999999999">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399999999999999">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399999999999999">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399999999999999">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399999999999999">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399999999999999">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399999999999999">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399999999999999">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399999999999999">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399999999999999">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399999999999999">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399999999999999">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399999999999999">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399999999999999">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399999999999999">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399999999999999">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399999999999999">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399999999999999">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399999999999999">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399999999999999">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399999999999999">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399999999999999">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399999999999999">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399999999999999">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399999999999999">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399999999999999">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399999999999999">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399999999999999">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399999999999999">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399999999999999">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399999999999999">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399999999999999">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399999999999999">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399999999999999">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399999999999999">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399999999999999">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399999999999999">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399999999999999">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399999999999999">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399999999999999">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399999999999999">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399999999999999">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399999999999999">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399999999999999">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399999999999999">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399999999999999">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399999999999999">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399999999999999">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399999999999999">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399999999999999">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399999999999999">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399999999999999">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399999999999999">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399999999999999">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399999999999999">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399999999999999">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399999999999999">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399999999999999">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399999999999999">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399999999999999">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399999999999999">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399999999999999">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399999999999999">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399999999999999">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399999999999999">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399999999999999">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399999999999999">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399999999999999">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399999999999999">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399999999999999">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399999999999999">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399999999999999">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399999999999999">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399999999999999">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399999999999999">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399999999999999">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399999999999999">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399999999999999">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399999999999999">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399999999999999">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399999999999999">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399999999999999">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399999999999999">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399999999999999">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399999999999999">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399999999999999">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399999999999999">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399999999999999">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399999999999999">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399999999999999">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399999999999999">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399999999999999">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399999999999999">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399999999999999">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399999999999999">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399999999999999">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399999999999999">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399999999999999">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399999999999999">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399999999999999">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399999999999999">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399999999999999">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399999999999999">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399999999999999">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399999999999999">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399999999999999">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399999999999999">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399999999999999">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399999999999999">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399999999999999">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399999999999999">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399999999999999">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399999999999999">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399999999999999">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399999999999999">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399999999999999">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399999999999999">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399999999999999">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399999999999999">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399999999999999">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399999999999999">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399999999999999">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399999999999999">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399999999999999">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399999999999999">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399999999999999">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399999999999999">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399999999999999">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399999999999999">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399999999999999">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399999999999999">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399999999999999">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399999999999999">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399999999999999">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399999999999999">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399999999999999">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399999999999999">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399999999999999">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399999999999999">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399999999999999">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399999999999999">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399999999999999">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399999999999999">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399999999999999">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399999999999999">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399999999999999">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399999999999999">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399999999999999">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399999999999999">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399999999999999">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399999999999999">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399999999999999">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399999999999999">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399999999999999">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399999999999999">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399999999999999">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399999999999999">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399999999999999">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399999999999999">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399999999999999">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399999999999999">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399999999999999">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399999999999999">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399999999999999">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399999999999999">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399999999999999">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399999999999999">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399999999999999">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399999999999999">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399999999999999">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399999999999999">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399999999999999">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399999999999999">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399999999999999">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399999999999999">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399999999999999">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399999999999999">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399999999999999">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399999999999999">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399999999999999">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399999999999999">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399999999999999">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399999999999999">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399999999999999">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399999999999999">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399999999999999">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399999999999999">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399999999999999">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399999999999999">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399999999999999">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399999999999999">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399999999999999">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399999999999999">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399999999999999">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399999999999999">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399999999999999">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399999999999999">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399999999999999">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399999999999999">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399999999999999">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399999999999999">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399999999999999">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399999999999999">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399999999999999">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399999999999999">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399999999999999">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399999999999999">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399999999999999">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399999999999999">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399999999999999">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399999999999999">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399999999999999">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399999999999999">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399999999999999">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399999999999999">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399999999999999">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399999999999999">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399999999999999">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399999999999999">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399999999999999">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399999999999999">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399999999999999">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399999999999999">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399999999999999">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399999999999999">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399999999999999">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399999999999999">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399999999999999">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399999999999999">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399999999999999">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399999999999999">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399999999999999">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399999999999999">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399999999999999">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399999999999999">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399999999999999">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399999999999999">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399999999999999">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399999999999999">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399999999999999">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399999999999999">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399999999999999">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399999999999999">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399999999999999">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399999999999999">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399999999999999">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399999999999999">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399999999999999">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399999999999999">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399999999999999">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399999999999999">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399999999999999">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399999999999999">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399999999999999">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399999999999999">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399999999999999">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399999999999999">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399999999999999">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399999999999999">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399999999999999">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399999999999999">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399999999999999">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399999999999999">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399999999999999">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399999999999999">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399999999999999">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399999999999999">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399999999999999">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399999999999999">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399999999999999">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399999999999999">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399999999999999">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399999999999999">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399999999999999">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399999999999999">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399999999999999">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399999999999999">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399999999999999">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399999999999999">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399999999999999">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399999999999999">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399999999999999">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399999999999999">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399999999999999">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399999999999999">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399999999999999">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399999999999999">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399999999999999">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399999999999999">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399999999999999">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399999999999999">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399999999999999">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399999999999999">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399999999999999">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399999999999999">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399999999999999">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399999999999999">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399999999999999">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399999999999999">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399999999999999">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399999999999999">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399999999999999">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399999999999999">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399999999999999">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399999999999999">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399999999999999">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399999999999999">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399999999999999">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399999999999999">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399999999999999">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399999999999999">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399999999999999">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399999999999999">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399999999999999">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399999999999999">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399999999999999">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399999999999999">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399999999999999">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399999999999999">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399999999999999">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399999999999999">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399999999999999">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399999999999999">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399999999999999">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399999999999999">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399999999999999">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399999999999999">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399999999999999">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399999999999999">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399999999999999">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399999999999999">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399999999999999">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399999999999999">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399999999999999">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399999999999999">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399999999999999">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399999999999999">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399999999999999">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399999999999999">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399999999999999">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399999999999999">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399999999999999">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399999999999999">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399999999999999">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399999999999999">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399999999999999">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399999999999999">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399999999999999">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399999999999999">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399999999999999">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399999999999999">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399999999999999">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399999999999999">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399999999999999">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399999999999999">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399999999999999">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399999999999999">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399999999999999">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399999999999999">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399999999999999">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399999999999999">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399999999999999">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399999999999999">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399999999999999">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399999999999999">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399999999999999">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399999999999999">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399999999999999">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399999999999999">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399999999999999">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399999999999999">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399999999999999">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399999999999999">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399999999999999">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399999999999999">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399999999999999">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399999999999999">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399999999999999">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399999999999999">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399999999999999">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399999999999999">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399999999999999">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399999999999999">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399999999999999">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399999999999999">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399999999999999">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399999999999999">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399999999999999">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399999999999999">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399999999999999">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399999999999999">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399999999999999">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399999999999999">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399999999999999">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399999999999999">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399999999999999">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399999999999999">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399999999999999">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399999999999999">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399999999999999">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399999999999999">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399999999999999">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399999999999999">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399999999999999">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399999999999999">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399999999999999">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399999999999999">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399999999999999">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399999999999999">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399999999999999">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399999999999999">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399999999999999">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399999999999999">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399999999999999">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399999999999999">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399999999999999">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399999999999999">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399999999999999">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399999999999999">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399999999999999">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399999999999999">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399999999999999">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399999999999999">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399999999999999">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399999999999999">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399999999999999">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399999999999999">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399999999999999">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399999999999999">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399999999999999">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399999999999999">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399999999999999">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399999999999999">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399999999999999">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399999999999999">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399999999999999">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399999999999999">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399999999999999">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399999999999999">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399999999999999">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399999999999999">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399999999999999">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399999999999999">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399999999999999">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399999999999999">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399999999999999">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399999999999999">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399999999999999">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399999999999999">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399999999999999">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399999999999999">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399999999999999">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399999999999999">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399999999999999">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399999999999999">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399999999999999">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399999999999999">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399999999999999">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399999999999999">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399999999999999">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399999999999999">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399999999999999">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399999999999999">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399999999999999">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399999999999999">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399999999999999">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399999999999999">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399999999999999">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399999999999999">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399999999999999">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399999999999999">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399999999999999">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399999999999999">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399999999999999">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399999999999999">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399999999999999">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399999999999999">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399999999999999">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399999999999999">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399999999999999">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399999999999999">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399999999999999">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399999999999999">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399999999999999">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399999999999999">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399999999999999">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399999999999999">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399999999999999">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399999999999999">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399999999999999">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399999999999999">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399999999999999">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399999999999999">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399999999999999">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399999999999999">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399999999999999">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399999999999999">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399999999999999">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399999999999999">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399999999999999">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399999999999999">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399999999999999">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399999999999999">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399999999999999">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399999999999999">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399999999999999">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399999999999999">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399999999999999">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399999999999999">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399999999999999">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399999999999999">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399999999999999">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399999999999999">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399999999999999">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399999999999999">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399999999999999">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399999999999999">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399999999999999">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399999999999999">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399999999999999">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399999999999999">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399999999999999">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399999999999999">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399999999999999">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399999999999999">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399999999999999">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399999999999999">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399999999999999">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399999999999999">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399999999999999">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399999999999999">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399999999999999">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399999999999999">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399999999999999">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399999999999999">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399999999999999">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399999999999999">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399999999999999">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399999999999999">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399999999999999">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399999999999999">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399999999999999">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399999999999999">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399999999999999">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399999999999999">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399999999999999">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399999999999999">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399999999999999">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399999999999999">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399999999999999">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399999999999999">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399999999999999">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399999999999999">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399999999999999">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399999999999999">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399999999999999">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399999999999999">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399999999999999">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399999999999999">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399999999999999">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399999999999999">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399999999999999">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399999999999999">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399999999999999">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399999999999999">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399999999999999">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399999999999999">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399999999999999">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399999999999999">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399999999999999">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399999999999999">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399999999999999">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399999999999999">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399999999999999">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399999999999999">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399999999999999">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399999999999999">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399999999999999">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399999999999999">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399999999999999">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399999999999999">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399999999999999">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399999999999999">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399999999999999">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399999999999999">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399999999999999">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399999999999999">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399999999999999">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399999999999999">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399999999999999">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399999999999999">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399999999999999">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399999999999999">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399999999999999">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399999999999999">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399999999999999">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399999999999999">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399999999999999">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399999999999999">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399999999999999">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399999999999999">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399999999999999">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399999999999999">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399999999999999">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399999999999999">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399999999999999">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399999999999999">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399999999999999">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399999999999999">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399999999999999">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399999999999999">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399999999999999">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399999999999999">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399999999999999">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399999999999999">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399999999999999">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399999999999999">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399999999999999">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399999999999999">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399999999999999">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399999999999999">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399999999999999">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399999999999999">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399999999999999">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399999999999999">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399999999999999">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399999999999999">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399999999999999">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399999999999999">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399999999999999">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399999999999999">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399999999999999">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399999999999999">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399999999999999">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399999999999999">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399999999999999">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399999999999999">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399999999999999">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399999999999999">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399999999999999">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399999999999999">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399999999999999">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399999999999999">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399999999999999">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399999999999999">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399999999999999">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399999999999999">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399999999999999">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399999999999999">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399999999999999">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399999999999999">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399999999999999">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399999999999999">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399999999999999">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399999999999999">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399999999999999">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399999999999999">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399999999999999">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399999999999999">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399999999999999">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399999999999999">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399999999999999">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399999999999999">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399999999999999">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399999999999999">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399999999999999">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399999999999999">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399999999999999">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399999999999999">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399999999999999">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399999999999999">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399999999999999">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399999999999999">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399999999999999">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399999999999999">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399999999999999">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399999999999999">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399999999999999">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399999999999999">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399999999999999">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399999999999999">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399999999999999">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399999999999999">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399999999999999">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399999999999999">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399999999999999">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399999999999999">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399999999999999">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399999999999999">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399999999999999">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399999999999999">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399999999999999">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399999999999999">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399999999999999">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399999999999999">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399999999999999">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399999999999999">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399999999999999">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399999999999999">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399999999999999">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399999999999999">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399999999999999">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399999999999999">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399999999999999">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399999999999999">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399999999999999">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399999999999999">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399999999999999">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399999999999999">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399999999999999">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399999999999999">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399999999999999">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399999999999999">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399999999999999">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399999999999999">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399999999999999">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399999999999999">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399999999999999">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399999999999999">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399999999999999">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399999999999999">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399999999999999">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399999999999999">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399999999999999">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399999999999999">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399999999999999">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399999999999999">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399999999999999">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399999999999999">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399999999999999">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399999999999999">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399999999999999">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399999999999999">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399999999999999">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399999999999999">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399999999999999">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399999999999999">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399999999999999">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399999999999999">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399999999999999">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399999999999999">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399999999999999">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399999999999999">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399999999999999">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399999999999999">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399999999999999">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399999999999999">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399999999999999">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399999999999999">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399999999999999">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399999999999999">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399999999999999">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399999999999999">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399999999999999">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399999999999999">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399999999999999">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399999999999999">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399999999999999">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399999999999999">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399999999999999">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399999999999999">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399999999999999">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399999999999999">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399999999999999">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399999999999999">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399999999999999">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399999999999999">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399999999999999">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399999999999999">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399999999999999">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399999999999999">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399999999999999">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399999999999999">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399999999999999">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399999999999999">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399999999999999">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399999999999999">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399999999999999">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399999999999999">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399999999999999">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399999999999999">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399999999999999">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399999999999999">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399999999999999">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399999999999999">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399999999999999">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399999999999999">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399999999999999">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399999999999999">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399999999999999">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399999999999999">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399999999999999">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399999999999999">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399999999999999">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399999999999999">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399999999999999">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399999999999999">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399999999999999">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399999999999999">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399999999999999">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399999999999999">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399999999999999">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399999999999999">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399999999999999">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399999999999999">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399999999999999">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399999999999999">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399999999999999">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399999999999999">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399999999999999">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399999999999999">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399999999999999">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399999999999999">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399999999999999">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399999999999999">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399999999999999">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399999999999999">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399999999999999">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399999999999999">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399999999999999">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399999999999999">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399999999999999">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399999999999999">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399999999999999">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399999999999999">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399999999999999">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399999999999999">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399999999999999">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399999999999999">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399999999999999">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399999999999999">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399999999999999">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399999999999999">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399999999999999">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399999999999999">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399999999999999">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399999999999999">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399999999999999">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399999999999999">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399999999999999">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399999999999999">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399999999999999">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399999999999999">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399999999999999">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399999999999999">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399999999999999">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399999999999999">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399999999999999">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399999999999999">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399999999999999">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399999999999999">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399999999999999">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399999999999999">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399999999999999">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399999999999999">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399999999999999">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399999999999999">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399999999999999">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399999999999999">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399999999999999">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399999999999999">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399999999999999">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399999999999999">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399999999999999">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399999999999999">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399999999999999">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399999999999999">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399999999999999">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399999999999999">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399999999999999">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399999999999999">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399999999999999">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399999999999999">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399999999999999">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399999999999999">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399999999999999">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399999999999999">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399999999999999">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399999999999999">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399999999999999">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399999999999999">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399999999999999">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399999999999999">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399999999999999">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399999999999999">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399999999999999">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399999999999999">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399999999999999">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399999999999999">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399999999999999">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399999999999999">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399999999999999">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399999999999999">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399999999999999">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399999999999999">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399999999999999">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399999999999999">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399999999999999">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399999999999999">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399999999999999">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399999999999999">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399999999999999">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399999999999999">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399999999999999">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399999999999999">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399999999999999">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399999999999999">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399999999999999">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399999999999999">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399999999999999">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399999999999999">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399999999999999">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399999999999999">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399999999999999">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399999999999999">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399999999999999">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399999999999999">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399999999999999">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399999999999999">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399999999999999">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399999999999999">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399999999999999">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399999999999999">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399999999999999">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399999999999999">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399999999999999">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399999999999999">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399999999999999">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399999999999999">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399999999999999">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399999999999999">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399999999999999">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399999999999999">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399999999999999">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399999999999999">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399999999999999">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399999999999999">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399999999999999">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399999999999999">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399999999999999">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399999999999999">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399999999999999">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399999999999999">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399999999999999">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399999999999999">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399999999999999">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399999999999999">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399999999999999">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399999999999999">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399999999999999">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399999999999999">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399999999999999">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399999999999999">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399999999999999">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399999999999999">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399999999999999">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399999999999999">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399999999999999">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399999999999999">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399999999999999">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399999999999999">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399999999999999">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399999999999999">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399999999999999">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399999999999999">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399999999999999">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399999999999999">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399999999999999">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399999999999999">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399999999999999">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399999999999999">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399999999999999">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399999999999999">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399999999999999">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399999999999999">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399999999999999">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399999999999999">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399999999999999">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399999999999999">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399999999999999">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399999999999999">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399999999999999">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399999999999999">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399999999999999">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399999999999999">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399999999999999">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399999999999999">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399999999999999">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399999999999999">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399999999999999">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399999999999999">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399999999999999">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399999999999999">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399999999999999">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399999999999999">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399999999999999">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399999999999999">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399999999999999">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399999999999999">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399999999999999">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399999999999999">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399999999999999">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399999999999999">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399999999999999">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399999999999999">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399999999999999">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399999999999999">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399999999999999">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399999999999999">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399999999999999">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399999999999999">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399999999999999">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399999999999999">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399999999999999">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399999999999999">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399999999999999">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399999999999999">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399999999999999">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399999999999999">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399999999999999">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399999999999999">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399999999999999">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399999999999999">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399999999999999">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399999999999999">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399999999999999">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399999999999999">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399999999999999">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399999999999999">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399999999999999">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399999999999999">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399999999999999">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399999999999999">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399999999999999">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399999999999999">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399999999999999">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399999999999999">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399999999999999">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399999999999999">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399999999999999">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399999999999999">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399999999999999">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399999999999999">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399999999999999">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399999999999999">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399999999999999">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399999999999999">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399999999999999">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399999999999999">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399999999999999">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399999999999999">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399999999999999">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399999999999999">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399999999999999">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399999999999999">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399999999999999">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399999999999999">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399999999999999">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399999999999999">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399999999999999">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399999999999999">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399999999999999">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399999999999999">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399999999999999">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399999999999999">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399999999999999">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399999999999999">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399999999999999">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399999999999999">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399999999999999">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399999999999999">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399999999999999">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399999999999999">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399999999999999">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399999999999999">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399999999999999">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399999999999999">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399999999999999">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399999999999999">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399999999999999">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399999999999999">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399999999999999">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399999999999999">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399999999999999">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399999999999999">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399999999999999">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399999999999999">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399999999999999">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399999999999999">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399999999999999">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399999999999999">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399999999999999">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399999999999999">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399999999999999">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399999999999999">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399999999999999">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399999999999999">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399999999999999">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399999999999999">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399999999999999">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399999999999999">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399999999999999">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399999999999999">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399999999999999">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399999999999999">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399999999999999">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399999999999999">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399999999999999">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399999999999999">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399999999999999">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399999999999999">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399999999999999">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399999999999999">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399999999999999">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399999999999999">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399999999999999">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399999999999999">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399999999999999">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399999999999999">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399999999999999">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399999999999999">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399999999999999">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399999999999999">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399999999999999">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399999999999999">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399999999999999">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399999999999999">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399999999999999">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399999999999999">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399999999999999">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399999999999999">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399999999999999">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399999999999999">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399999999999999">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399999999999999">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399999999999999">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399999999999999">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399999999999999">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399999999999999">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399999999999999">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399999999999999">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399999999999999">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399999999999999">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399999999999999">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399999999999999">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399999999999999">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399999999999999">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399999999999999">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399999999999999">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399999999999999">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399999999999999">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399999999999999">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399999999999999">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399999999999999">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399999999999999">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399999999999999">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399999999999999">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399999999999999">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399999999999999">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399999999999999">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399999999999999">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399999999999999">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399999999999999">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399999999999999">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399999999999999">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399999999999999">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399999999999999">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399999999999999">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399999999999999">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399999999999999">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399999999999999">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399999999999999">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399999999999999">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399999999999999">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399999999999999">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399999999999999">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399999999999999">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399999999999999">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399999999999999">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399999999999999">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399999999999999">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399999999999999">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399999999999999">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399999999999999">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399999999999999">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399999999999999">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399999999999999">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399999999999999">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399999999999999">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399999999999999">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399999999999999">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399999999999999">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399999999999999">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399999999999999">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399999999999999">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399999999999999">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399999999999999">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399999999999999">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399999999999999">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399999999999999">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399999999999999">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399999999999999">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399999999999999">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399999999999999">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399999999999999">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399999999999999">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399999999999999">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399999999999999">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399999999999999">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399999999999999">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399999999999999">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399999999999999">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399999999999999">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399999999999999">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399999999999999">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399999999999999">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399999999999999">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399999999999999">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399999999999999">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399999999999999">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399999999999999">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399999999999999">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399999999999999">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399999999999999">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399999999999999">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399999999999999">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399999999999999">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399999999999999">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399999999999999">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399999999999999">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399999999999999">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399999999999999">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399999999999999">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399999999999999">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399999999999999">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399999999999999">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399999999999999">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399999999999999">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399999999999999">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399999999999999">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399999999999999">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399999999999999">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399999999999999">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399999999999999">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399999999999999">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399999999999999">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399999999999999">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399999999999999">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399999999999999">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399999999999999">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399999999999999">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399999999999999">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399999999999999">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399999999999999">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399999999999999">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399999999999999">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399999999999999">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399999999999999">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399999999999999">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399999999999999">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399999999999999">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399999999999999">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399999999999999">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399999999999999">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399999999999999">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399999999999999">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399999999999999">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399999999999999">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399999999999999">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399999999999999">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399999999999999">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399999999999999">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399999999999999">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399999999999999">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399999999999999">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399999999999999">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399999999999999">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399999999999999">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399999999999999">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399999999999999">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399999999999999">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399999999999999">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399999999999999">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399999999999999">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399999999999999">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399999999999999">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399999999999999">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399999999999999">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399999999999999">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399999999999999">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399999999999999">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399999999999999">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399999999999999">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399999999999999">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399999999999999">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399999999999999">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399999999999999">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399999999999999">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399999999999999">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399999999999999">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399999999999999">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399999999999999">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399999999999999">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399999999999999">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399999999999999">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399999999999999">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399999999999999">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399999999999999">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399999999999999">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399999999999999">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399999999999999">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399999999999999">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399999999999999">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399999999999999">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399999999999999">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399999999999999">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399999999999999">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399999999999999">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399999999999999">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399999999999999">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399999999999999">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399999999999999">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399999999999999">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399999999999999">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399999999999999">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399999999999999">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399999999999999">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399999999999999">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399999999999999">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399999999999999">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399999999999999">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399999999999999">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399999999999999">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399999999999999">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399999999999999">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399999999999999">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399999999999999">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399999999999999">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399999999999999">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399999999999999">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399999999999999">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399999999999999">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399999999999999">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399999999999999">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399999999999999">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399999999999999">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399999999999999">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399999999999999">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399999999999999">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399999999999999">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399999999999999">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399999999999999">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399999999999999">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399999999999999">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399999999999999">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399999999999999">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399999999999999">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399999999999999">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399999999999999">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399999999999999">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399999999999999">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399999999999999">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399999999999999">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399999999999999">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399999999999999">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399999999999999">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399999999999999">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399999999999999">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399999999999999">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399999999999999">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399999999999999">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399999999999999">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399999999999999">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399999999999999">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399999999999999">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399999999999999">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399999999999999">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399999999999999">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399999999999999">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399999999999999">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399999999999999">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399999999999999">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399999999999999">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399999999999999">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399999999999999">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399999999999999">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399999999999999">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399999999999999">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399999999999999">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399999999999999">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399999999999999">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399999999999999">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399999999999999">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399999999999999">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399999999999999">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399999999999999">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399999999999999">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399999999999999">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399999999999999">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399999999999999">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399999999999999">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399999999999999">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399999999999999">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399999999999999">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399999999999999">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399999999999999">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399999999999999">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399999999999999">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399999999999999">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399999999999999">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399999999999999">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399999999999999">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399999999999999">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399999999999999">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399999999999999">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399999999999999">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399999999999999">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399999999999999">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399999999999999">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399999999999999">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399999999999999">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399999999999999">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399999999999999">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399999999999999">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399999999999999">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399999999999999">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399999999999999">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399999999999999">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399999999999999">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399999999999999">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399999999999999">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399999999999999">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399999999999999">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399999999999999">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399999999999999">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399999999999999">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399999999999999">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399999999999999">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399999999999999">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399999999999999">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399999999999999">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399999999999999">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399999999999999">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399999999999999">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399999999999999">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399999999999999">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399999999999999">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399999999999999">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399999999999999">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399999999999999">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399999999999999">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399999999999999">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399999999999999">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399999999999999">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399999999999999">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399999999999999">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399999999999999">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399999999999999">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399999999999999">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399999999999999">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399999999999999">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399999999999999">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399999999999999">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399999999999999">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399999999999999">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399999999999999">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399999999999999">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399999999999999">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399999999999999">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399999999999999">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399999999999999">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399999999999999">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399999999999999">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399999999999999">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399999999999999">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399999999999999">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399999999999999">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399999999999999">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399999999999999">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399999999999999">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399999999999999">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399999999999999">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399999999999999">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399999999999999">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399999999999999">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399999999999999">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399999999999999">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399999999999999">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399999999999999">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399999999999999">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399999999999999">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399999999999999">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399999999999999">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399999999999999">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399999999999999">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399999999999999">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399999999999999">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399999999999999">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399999999999999">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399999999999999">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399999999999999">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399999999999999">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399999999999999">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399999999999999">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399999999999999">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399999999999999">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399999999999999">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399999999999999">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399999999999999">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399999999999999">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399999999999999">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399999999999999">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399999999999999">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399999999999999">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399999999999999">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399999999999999">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399999999999999">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399999999999999">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399999999999999">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399999999999999">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399999999999999">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399999999999999">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399999999999999">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399999999999999">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399999999999999">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399999999999999">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399999999999999">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399999999999999">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399999999999999">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399999999999999">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399999999999999">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399999999999999">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399999999999999">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399999999999999">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399999999999999">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399999999999999">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399999999999999">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399999999999999">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399999999999999">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399999999999999">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399999999999999">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399999999999999">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399999999999999">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399999999999999">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399999999999999">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399999999999999">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399999999999999">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399999999999999">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399999999999999">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399999999999999">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399999999999999">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399999999999999">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399999999999999">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399999999999999">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399999999999999">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399999999999999">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399999999999999">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399999999999999">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399999999999999">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399999999999999">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399999999999999">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399999999999999">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399999999999999">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399999999999999">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399999999999999">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399999999999999">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399999999999999">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399999999999999">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399999999999999">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399999999999999">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399999999999999">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399999999999999">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399999999999999">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399999999999999">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399999999999999">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399999999999999">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399999999999999">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399999999999999">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399999999999999">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399999999999999">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399999999999999">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399999999999999">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399999999999999">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399999999999999">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399999999999999">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399999999999999">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399999999999999">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399999999999999">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399999999999999">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399999999999999">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399999999999999">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399999999999999">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399999999999999">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399999999999999">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399999999999999">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399999999999999">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399999999999999">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399999999999999">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399999999999999">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399999999999999">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399999999999999">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399999999999999">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399999999999999">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399999999999999">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399999999999999">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399999999999999">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399999999999999">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399999999999999">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399999999999999">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399999999999999">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399999999999999">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399999999999999">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399999999999999">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399999999999999">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399999999999999">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399999999999999">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399999999999999">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399999999999999">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399999999999999">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399999999999999">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399999999999999">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399999999999999">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399999999999999">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399999999999999">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399999999999999">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399999999999999">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399999999999999">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399999999999999">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399999999999999">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399999999999999">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399999999999999">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399999999999999">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399999999999999">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399999999999999">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399999999999999">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399999999999999">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399999999999999">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399999999999999">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399999999999999">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399999999999999">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399999999999999">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399999999999999">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399999999999999">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399999999999999">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399999999999999">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399999999999999">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399999999999999">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399999999999999">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399999999999999">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399999999999999">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399999999999999">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399999999999999">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399999999999999">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399999999999999">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399999999999999">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399999999999999">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399999999999999">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399999999999999">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399999999999999">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399999999999999">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399999999999999">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399999999999999">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399999999999999">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399999999999999">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399999999999999">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399999999999999">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399999999999999">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399999999999999">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399999999999999">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399999999999999">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399999999999999">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399999999999999">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399999999999999">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399999999999999">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399999999999999">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399999999999999">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399999999999999">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399999999999999">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399999999999999">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399999999999999">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399999999999999">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399999999999999">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399999999999999">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399999999999999">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399999999999999">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399999999999999">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399999999999999">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399999999999999">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399999999999999">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399999999999999">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399999999999999">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399999999999999">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399999999999999">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399999999999999">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399999999999999">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399999999999999">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399999999999999">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399999999999999">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399999999999999">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399999999999999">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399999999999999">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399999999999999">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399999999999999">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399999999999999">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399999999999999">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399999999999999">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399999999999999">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399999999999999">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399999999999999">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399999999999999">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399999999999999">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399999999999999">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399999999999999">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399999999999999">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399999999999999">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399999999999999">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399999999999999">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399999999999999">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399999999999999">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399999999999999">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399999999999999">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399999999999999">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399999999999999">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399999999999999">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399999999999999">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399999999999999">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399999999999999">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399999999999999">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399999999999999">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399999999999999">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399999999999999">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399999999999999">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399999999999999">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399999999999999">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399999999999999">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399999999999999">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399999999999999">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399999999999999">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399999999999999">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399999999999999">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399999999999999">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399999999999999">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399999999999999">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399999999999999">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399999999999999">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399999999999999">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399999999999999">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399999999999999">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399999999999999">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399999999999999">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399999999999999">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399999999999999">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399999999999999">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399999999999999">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399999999999999">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399999999999999">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399999999999999">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399999999999999">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399999999999999">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399999999999999">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399999999999999">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399999999999999">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399999999999999">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399999999999999">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399999999999999">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399999999999999">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399999999999999">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399999999999999">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399999999999999">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399999999999999">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399999999999999">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399999999999999">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399999999999999">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399999999999999">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399999999999999">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399999999999999">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399999999999999">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399999999999999">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399999999999999">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399999999999999">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399999999999999">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399999999999999">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399999999999999">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399999999999999">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399999999999999">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399999999999999">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399999999999999">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399999999999999">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399999999999999">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399999999999999">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399999999999999">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399999999999999">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399999999999999">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399999999999999">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399999999999999">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399999999999999">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399999999999999">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399999999999999">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399999999999999">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399999999999999">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399999999999999">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399999999999999">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399999999999999">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399999999999999">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399999999999999">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399999999999999">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399999999999999">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399999999999999">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399999999999999">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399999999999999">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399999999999999">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399999999999999">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399999999999999">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399999999999999">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399999999999999">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399999999999999">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399999999999999">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399999999999999">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399999999999999">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399999999999999">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399999999999999">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399999999999999">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399999999999999">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399999999999999">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399999999999999">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399999999999999">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399999999999999">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399999999999999">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399999999999999">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399999999999999">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399999999999999">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399999999999999">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399999999999999">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399999999999999">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399999999999999">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399999999999999">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399999999999999">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399999999999999">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399999999999999">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399999999999999">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399999999999999">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399999999999999">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399999999999999">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399999999999999">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399999999999999">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399999999999999">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399999999999999">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399999999999999">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399999999999999">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399999999999999">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399999999999999">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399999999999999">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399999999999999">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399999999999999">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399999999999999">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399999999999999">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399999999999999">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399999999999999">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399999999999999">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399999999999999">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399999999999999">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399999999999999">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399999999999999">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399999999999999">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399999999999999">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399999999999999">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399999999999999">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399999999999999">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399999999999999">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399999999999999">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399999999999999">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399999999999999">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399999999999999">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399999999999999">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399999999999999">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399999999999999">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399999999999999">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399999999999999">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399999999999999">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399999999999999">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399999999999999">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399999999999999">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399999999999999">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399999999999999">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399999999999999">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399999999999999">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399999999999999">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399999999999999">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399999999999999">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399999999999999">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399999999999999">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399999999999999">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399999999999999">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399999999999999">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399999999999999">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399999999999999">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399999999999999">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399999999999999">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399999999999999">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399999999999999">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399999999999999">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399999999999999">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399999999999999">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399999999999999">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399999999999999">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399999999999999">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399999999999999">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399999999999999">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399999999999999">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399999999999999">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399999999999999">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399999999999999">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399999999999999">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399999999999999">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399999999999999">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399999999999999">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399999999999999">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399999999999999">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399999999999999">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399999999999999">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399999999999999">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399999999999999">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399999999999999">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399999999999999">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399999999999999">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399999999999999">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399999999999999">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399999999999999">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399999999999999">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399999999999999">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399999999999999">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399999999999999">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399999999999999">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399999999999999">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399999999999999">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399999999999999">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399999999999999">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399999999999999">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399999999999999">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399999999999999">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399999999999999">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399999999999999">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399999999999999">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399999999999999">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399999999999999">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399999999999999">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399999999999999">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399999999999999">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399999999999999">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399999999999999">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399999999999999">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399999999999999">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399999999999999">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399999999999999">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399999999999999">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399999999999999">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399999999999999">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399999999999999">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399999999999999">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399999999999999">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399999999999999">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399999999999999">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399999999999999">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399999999999999">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399999999999999">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399999999999999">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399999999999999">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399999999999999">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399999999999999">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399999999999999">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399999999999999">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399999999999999">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399999999999999">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399999999999999">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399999999999999">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399999999999999">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399999999999999">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399999999999999">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399999999999999">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399999999999999">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399999999999999">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399999999999999">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399999999999999">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399999999999999">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399999999999999">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399999999999999">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399999999999999">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399999999999999">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399999999999999">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399999999999999">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399999999999999">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399999999999999">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399999999999999">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399999999999999">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399999999999999">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399999999999999">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399999999999999">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399999999999999">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399999999999999">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399999999999999">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399999999999999">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399999999999999">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399999999999999">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399999999999999">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399999999999999">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399999999999999">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399999999999999">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399999999999999">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399999999999999">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399999999999999">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399999999999999">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399999999999999">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399999999999999">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399999999999999">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399999999999999">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399999999999999">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399999999999999">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399999999999999">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399999999999999">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399999999999999">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399999999999999">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399999999999999">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399999999999999">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399999999999999">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399999999999999">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399999999999999">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399999999999999">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399999999999999">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399999999999999">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399999999999999">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399999999999999">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399999999999999">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399999999999999">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399999999999999">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399999999999999">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399999999999999">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399999999999999">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399999999999999">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399999999999999">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399999999999999">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399999999999999">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399999999999999">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399999999999999">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399999999999999">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399999999999999">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399999999999999">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399999999999999">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399999999999999">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399999999999999">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399999999999999">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399999999999999">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399999999999999">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399999999999999">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399999999999999">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399999999999999">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399999999999999">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399999999999999">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399999999999999">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399999999999999">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399999999999999">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399999999999999">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399999999999999">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399999999999999">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399999999999999">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399999999999999">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399999999999999">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399999999999999">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8"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2" thickTop="1">
      <c r="U2506" s="277"/>
      <c r="V2506" s="277"/>
      <c r="W2506" s="277"/>
      <c r="X2506" s="277"/>
      <c r="Y2506" s="277"/>
      <c r="Z2506" s="277"/>
    </row>
    <row r="2507" spans="1:28">
      <c r="U2507" s="277"/>
      <c r="V2507" s="277"/>
      <c r="W2507" s="277"/>
      <c r="X2507" s="277"/>
      <c r="Y2507" s="277"/>
      <c r="Z2507" s="277"/>
    </row>
    <row r="2508" spans="1:28" ht="13.2"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D38238B-9534-4AA2-9554-A3A045860376}"/>
    </customSheetView>
  </customSheetViews>
  <mergeCells count="3">
    <mergeCell ref="J2:O2"/>
    <mergeCell ref="B3:E3"/>
    <mergeCell ref="G3:I3"/>
  </mergeCells>
  <conditionalFormatting sqref="B586:B2504">
    <cfRule type="expression" dxfId="64" priority="38" stopIfTrue="1">
      <formula>IF(B586="",TRUE)</formula>
    </cfRule>
    <cfRule type="expression" dxfId="63" priority="49" stopIfTrue="1">
      <formula>IF(AND(COUNTIF(MetalSmelter,B586&amp;C586)=0,LEN(C586)&gt;0),TRUE,FALSE)</formula>
    </cfRule>
  </conditionalFormatting>
  <conditionalFormatting sqref="D586:D2504">
    <cfRule type="expression" dxfId="62" priority="32" stopIfTrue="1">
      <formula>IF(AND(LEN($C586)&gt;0,($C586&lt;&gt;"Smelter Not Listed")),1,0)</formula>
    </cfRule>
    <cfRule type="expression" dxfId="61" priority="57" stopIfTrue="1">
      <formula>IF(AND(D586="",$C586=$X$4),TRUE)</formula>
    </cfRule>
    <cfRule type="expression" dxfId="60" priority="58" stopIfTrue="1">
      <formula>IF(FIND("!",D586),TRUE)</formula>
    </cfRule>
  </conditionalFormatting>
  <conditionalFormatting sqref="G586:G2504">
    <cfRule type="expression" dxfId="59" priority="59" stopIfTrue="1">
      <formula>IF(FIND("Enter smelter details",G586),TRUE)</formula>
    </cfRule>
  </conditionalFormatting>
  <conditionalFormatting sqref="R586:R2505 E586:E2504">
    <cfRule type="expression" dxfId="58" priority="45" stopIfTrue="1">
      <formula>IF(AND(E586="",$C586=$X$4),TRUE)</formula>
    </cfRule>
    <cfRule type="expression" dxfId="57" priority="46" stopIfTrue="1">
      <formula>IF(FIND("!",E586),TRUE)</formula>
    </cfRule>
  </conditionalFormatting>
  <conditionalFormatting sqref="F586:F2504">
    <cfRule type="expression" dxfId="56" priority="36" stopIfTrue="1">
      <formula>IF(AND(LEN($A586)&gt;0,$A586&lt;&gt;$F586),TRUE,FALSE)</formula>
    </cfRule>
  </conditionalFormatting>
  <conditionalFormatting sqref="C586:C2504">
    <cfRule type="expression" dxfId="55" priority="35" stopIfTrue="1">
      <formula>IF(AND(B586&lt;&gt;"",C586=""),TRUE)</formula>
    </cfRule>
  </conditionalFormatting>
  <conditionalFormatting sqref="B21:B585 B5:B19">
    <cfRule type="expression" dxfId="54" priority="14" stopIfTrue="1">
      <formula>IF(B5="",TRUE)</formula>
    </cfRule>
    <cfRule type="expression" dxfId="53" priority="17" stopIfTrue="1">
      <formula>IF(AND(COUNTIF(MetalSmelter,B5&amp;C5)=0,LEN(C5)&gt;0),TRUE,FALSE)</formula>
    </cfRule>
  </conditionalFormatting>
  <conditionalFormatting sqref="D5:D19 D21:D585">
    <cfRule type="expression" dxfId="52" priority="11" stopIfTrue="1">
      <formula>IF(AND(LEN($C5)&gt;0,($C5&lt;&gt;"Smelter Not Listed")),1,0)</formula>
    </cfRule>
    <cfRule type="expression" dxfId="51" priority="18" stopIfTrue="1">
      <formula>IF(AND(D5="",$C5=$X$4),TRUE)</formula>
    </cfRule>
    <cfRule type="expression" dxfId="50" priority="19" stopIfTrue="1">
      <formula>IF(FIND("!",D5),TRUE)</formula>
    </cfRule>
  </conditionalFormatting>
  <conditionalFormatting sqref="G5:G19 G21:G585">
    <cfRule type="expression" dxfId="49" priority="20" stopIfTrue="1">
      <formula>IF(FIND("Enter smelter details",G5),TRUE)</formula>
    </cfRule>
  </conditionalFormatting>
  <conditionalFormatting sqref="R5:R585 E5:E19 E21:E585">
    <cfRule type="expression" dxfId="48" priority="15" stopIfTrue="1">
      <formula>IF(AND(E5="",$C5=$X$4),TRUE)</formula>
    </cfRule>
    <cfRule type="expression" dxfId="47" priority="16" stopIfTrue="1">
      <formula>IF(FIND("!",E5),TRUE)</formula>
    </cfRule>
  </conditionalFormatting>
  <conditionalFormatting sqref="F5:F19 F21:F585">
    <cfRule type="expression" dxfId="46" priority="13" stopIfTrue="1">
      <formula>IF(AND(LEN($A5)&gt;0,$A5&lt;&gt;$F5),TRUE,FALSE)</formula>
    </cfRule>
  </conditionalFormatting>
  <conditionalFormatting sqref="C21:C585 C5:C19">
    <cfRule type="expression" dxfId="45" priority="12" stopIfTrue="1">
      <formula>IF(AND(B5&lt;&gt;"",C5=""),TRUE)</formula>
    </cfRule>
  </conditionalFormatting>
  <conditionalFormatting sqref="B20">
    <cfRule type="expression" dxfId="44" priority="4" stopIfTrue="1">
      <formula>IF(B20="",TRUE)</formula>
    </cfRule>
    <cfRule type="expression" dxfId="43" priority="7" stopIfTrue="1">
      <formula>IF(AND(COUNTIF(MetalSmelter,B20&amp;C20)=0,LEN(C20)&gt;0),TRUE,FALSE)</formula>
    </cfRule>
  </conditionalFormatting>
  <conditionalFormatting sqref="D20">
    <cfRule type="expression" dxfId="42" priority="1" stopIfTrue="1">
      <formula>IF(AND(LEN($C20)&gt;0,($C20&lt;&gt;"Smelter Not Listed")),1,0)</formula>
    </cfRule>
    <cfRule type="expression" dxfId="41" priority="8" stopIfTrue="1">
      <formula>IF(AND(D20="",$C20=$X$4),TRUE)</formula>
    </cfRule>
    <cfRule type="expression" dxfId="40" priority="9" stopIfTrue="1">
      <formula>IF(FIND("!",D20),TRUE)</formula>
    </cfRule>
  </conditionalFormatting>
  <conditionalFormatting sqref="G20">
    <cfRule type="expression" dxfId="39" priority="10" stopIfTrue="1">
      <formula>IF(FIND("Enter smelter details",G20),TRUE)</formula>
    </cfRule>
  </conditionalFormatting>
  <conditionalFormatting sqref="E20">
    <cfRule type="expression" dxfId="38" priority="5" stopIfTrue="1">
      <formula>IF(AND(E20="",$C20=$X$4),TRUE)</formula>
    </cfRule>
    <cfRule type="expression" dxfId="37" priority="6" stopIfTrue="1">
      <formula>IF(FIND("!",E20),TRUE)</formula>
    </cfRule>
  </conditionalFormatting>
  <conditionalFormatting sqref="F20">
    <cfRule type="expression" dxfId="36" priority="3" stopIfTrue="1">
      <formula>IF(AND(LEN($A20)&gt;0,$A20&lt;&gt;$F20),TRUE,FALSE)</formula>
    </cfRule>
  </conditionalFormatting>
  <conditionalFormatting sqref="C20">
    <cfRule type="expression" dxfId="35"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76"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47" t="str">
        <f ca="1">OFFSET(L!$C$1,MATCH("Checker"&amp;ADDRESS(ROW(),COLUMN(),4),L!$A:$A,0)-1,SL,,)</f>
        <v>To ensure all required fields have been populated before submitting to your customers review form for any line items highlighted in red</v>
      </c>
      <c r="B1" s="447"/>
      <c r="C1" s="447"/>
      <c r="D1" s="146" t="str">
        <f ca="1">OFFSET(L!$C$1,MATCH("Checker"&amp;ADDRESS(ROW(),COLUMN(),4),L!$A:$A,0)-1,SL,,)</f>
        <v>Required fields remaining to be completed</v>
      </c>
      <c r="E1" s="84" t="s">
        <v>806</v>
      </c>
    </row>
    <row r="2" spans="1:10" ht="16.2">
      <c r="A2" s="77" t="s">
        <v>898</v>
      </c>
      <c r="B2" s="78" t="str">
        <f>IF(F65=1,"Click here to return to Smelter List","")</f>
        <v/>
      </c>
      <c r="C2" s="150" t="str">
        <f>IF(F65=1,"Click here to return to Product List","")</f>
        <v/>
      </c>
      <c r="D2" s="181"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GAGGIONE SAS</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Mr Viviant</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j.viviant@gaggione.com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+ 33 (0)4 74 76 12 66</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Mr Viviant</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j.viviant@gaggione.com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44390</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810</v>
      </c>
      <c r="F13" s="106"/>
      <c r="G13" s="24"/>
      <c r="H13" s="83">
        <f t="shared" si="3"/>
        <v>0</v>
      </c>
    </row>
    <row r="14" spans="1:10" ht="26.4">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0.4">
      <c r="A18" s="102" t="str">
        <f ca="1">Declaration!B31</f>
        <v>2) Does any 3TG remain in the product(s)?</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807</v>
      </c>
      <c r="F20" s="107">
        <f>IF(B$15="No",0,1)</f>
        <v>0</v>
      </c>
      <c r="G20" s="81">
        <f>IF(B20=0,1,0)</f>
        <v>1</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807</v>
      </c>
      <c r="F25" s="107">
        <f>IF(OR(B15="No",B20="No"),0,1)</f>
        <v>0</v>
      </c>
      <c r="G25" s="81">
        <f>IF(B25=0,1,0)</f>
        <v>1</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22" t="str">
        <f>IF(H30=1,"Click here to answer question 4 for Tin","")</f>
        <v/>
      </c>
      <c r="E30" s="84"/>
      <c r="F30" s="107">
        <f>F25</f>
        <v>0</v>
      </c>
      <c r="G30" s="81">
        <f>IF(B30=0,1,0)</f>
        <v>1</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 xml:space="preserve">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22" t="str">
        <f>IF(H35=1,"Click here to answer question 5 for Tin","")</f>
        <v/>
      </c>
      <c r="E35" s="84" t="s">
        <v>1307</v>
      </c>
      <c r="F35" s="107">
        <f>F25</f>
        <v>0</v>
      </c>
      <c r="G35" s="81">
        <f>IF(B35=0,1,0)</f>
        <v>1</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 xml:space="preserve">6) What percentage of relevant suppliers have provided a response to your supply chain survey? </v>
      </c>
      <c r="B38" s="105"/>
      <c r="C38" s="105"/>
      <c r="D38" s="109"/>
      <c r="E38" s="84" t="s">
        <v>807</v>
      </c>
      <c r="F38" s="106"/>
      <c r="G38" s="24"/>
      <c r="H38" s="24"/>
    </row>
    <row r="39" spans="1:10" ht="26.4">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 xml:space="preserve">Tin  </v>
      </c>
      <c r="B40" s="341">
        <f>IF(AND($B$15="Yes",$B$20="Yes"),Declaration!D57,0)</f>
        <v>0</v>
      </c>
      <c r="C40" s="102" t="str">
        <f ca="1">IF(H40=1,J40,I40)</f>
        <v>Complete</v>
      </c>
      <c r="D40" s="323" t="str">
        <f>IF(H40=1,"Click here to answer question 6 for Tin","")</f>
        <v/>
      </c>
      <c r="E40" s="84" t="s">
        <v>806</v>
      </c>
      <c r="F40" s="107">
        <f>F25</f>
        <v>0</v>
      </c>
      <c r="G40" s="81">
        <f>IF(B40=0,1,0)</f>
        <v>1</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 xml:space="preserve">7) Have you identified all of the smelters supplying the 3TG to your supply chain? </v>
      </c>
      <c r="B43" s="105"/>
      <c r="C43" s="105"/>
      <c r="D43" s="109"/>
      <c r="E43" s="84" t="s">
        <v>808</v>
      </c>
      <c r="F43" s="106"/>
      <c r="G43" s="24"/>
      <c r="H43" s="24"/>
    </row>
    <row r="44" spans="1:10" ht="51.6">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 xml:space="preserve">Tin  </v>
      </c>
      <c r="B45" s="102">
        <f>IF(AND($B$15="Yes",$B$20="Yes"),Declaration!D63,0)</f>
        <v>0</v>
      </c>
      <c r="C45" s="102" t="str">
        <f ca="1">IF(H45=1,J45,I45)</f>
        <v>Complete</v>
      </c>
      <c r="D45" s="322" t="str">
        <f>IF(H45=1,"Click here to answer question 7 for Tin","")</f>
        <v/>
      </c>
      <c r="E45" s="84" t="s">
        <v>1303</v>
      </c>
      <c r="F45" s="107">
        <f>F25</f>
        <v>0</v>
      </c>
      <c r="G45" s="81">
        <f>IF(B45=0,1,0)</f>
        <v>1</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 xml:space="preserve">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23" t="str">
        <f>IF(H50=1,"Click here to answer question 8 for Tin","")</f>
        <v/>
      </c>
      <c r="E50" s="84" t="s">
        <v>807</v>
      </c>
      <c r="F50" s="107">
        <f>F25</f>
        <v>0</v>
      </c>
      <c r="G50" s="81">
        <f>IF(B50=0,1,0)</f>
        <v>1</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441</v>
      </c>
      <c r="F53" s="106"/>
      <c r="G53" s="106"/>
      <c r="H53" s="106"/>
    </row>
    <row r="54" spans="1:10" ht="39">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1307</v>
      </c>
      <c r="F54" s="107">
        <f>IF(SUM(F$24:F$27)=0,0,1)</f>
        <v>0</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No</v>
      </c>
      <c r="C55" s="102" t="str">
        <f t="shared" ca="1" si="10"/>
        <v>Complete</v>
      </c>
      <c r="D55" s="108" t="str">
        <f>IF(H55=1,"Click here to answer question (B)","")</f>
        <v/>
      </c>
      <c r="E55" s="84" t="s">
        <v>1307</v>
      </c>
      <c r="F55" s="107">
        <f t="shared" ref="F55" si="12">F$54</f>
        <v>0</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v>
      </c>
      <c r="B57" s="102" t="str">
        <f>Declaration!D79</f>
        <v>Yes</v>
      </c>
      <c r="C57" s="102" t="str">
        <f t="shared" ca="1" si="10"/>
        <v>Complete</v>
      </c>
      <c r="D57" s="108" t="str">
        <f>IF(H57=1,"Click here to answer question (C)","")</f>
        <v/>
      </c>
      <c r="E57" s="84" t="s">
        <v>1307</v>
      </c>
      <c r="F57" s="107">
        <f>F$54</f>
        <v>0</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No</v>
      </c>
      <c r="C58" s="102" t="str">
        <f t="shared" ca="1" si="10"/>
        <v>Complete</v>
      </c>
      <c r="D58" s="108" t="str">
        <f>IF(H58=1,"Click here to answer question (D)","")</f>
        <v/>
      </c>
      <c r="E58" s="84" t="s">
        <v>1307</v>
      </c>
      <c r="F58" s="107">
        <f>F$54</f>
        <v>0</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Yes, using other format (describe)</v>
      </c>
      <c r="C59" s="102" t="str">
        <f t="shared" ca="1" si="10"/>
        <v>Complete</v>
      </c>
      <c r="D59" s="108" t="str">
        <f>IF(H59=1,"Click here to answer question (E)","")</f>
        <v/>
      </c>
      <c r="E59" s="84" t="s">
        <v>1307</v>
      </c>
      <c r="F59" s="107">
        <f>F$54</f>
        <v>0</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Yes</v>
      </c>
      <c r="C60" s="102" t="str">
        <f t="shared" ca="1" si="10"/>
        <v>Complete</v>
      </c>
      <c r="D60" s="108" t="str">
        <f>IF(H60=1,"Click here to answer question (F)","")</f>
        <v/>
      </c>
      <c r="E60" s="84" t="s">
        <v>1307</v>
      </c>
      <c r="F60" s="107">
        <f>F$54</f>
        <v>0</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7"/>
    </row>
    <row r="62" spans="1:10" ht="39">
      <c r="A62" s="102" t="str">
        <f ca="1">Declaration!B87</f>
        <v>G. Does your review process include corrective action management?</v>
      </c>
      <c r="B62" s="102" t="str">
        <f>Declaration!D87</f>
        <v>No</v>
      </c>
      <c r="C62" s="102" t="str">
        <f t="shared" ref="C62:C68" ca="1" si="13">IF(H62=1,J62,I62)</f>
        <v>Complete</v>
      </c>
      <c r="D62" s="108" t="str">
        <f>IF(H62=1,"Click here to answer question (G)","")</f>
        <v/>
      </c>
      <c r="E62" s="84" t="s">
        <v>1307</v>
      </c>
      <c r="F62" s="107">
        <f>F$54</f>
        <v>0</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1307</v>
      </c>
      <c r="F63" s="107">
        <f>F$54</f>
        <v>0</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0</v>
      </c>
      <c r="G66" s="81">
        <f>IF(AND(COUNTIF(SmelterIdetifiedForMetal,"Tin")&gt;0,COUNTIF('Smelter List'!AB$5:AB$2504,"Tin?*")&gt;0),0,1)</f>
        <v>1</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0</v>
      </c>
      <c r="G67" s="81">
        <f>IF(AND(COUNTIF(SmelterIdetifiedForMetal,"Gold")&gt;0,COUNTIF('Smelter List'!AB$5:AB$2504,"Gold?*")&gt;0),0,1)</f>
        <v>1</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2">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2"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34" priority="358" stopIfTrue="1">
      <formula>$H$56=0</formula>
    </cfRule>
  </conditionalFormatting>
  <conditionalFormatting sqref="B66">
    <cfRule type="expression" dxfId="33" priority="39" stopIfTrue="1">
      <formula>IF(F66=0,TRUE)</formula>
    </cfRule>
  </conditionalFormatting>
  <conditionalFormatting sqref="B67">
    <cfRule type="expression" dxfId="32" priority="35" stopIfTrue="1">
      <formula>IF(F67=0,TRUE)</formula>
    </cfRule>
  </conditionalFormatting>
  <conditionalFormatting sqref="B68:B69">
    <cfRule type="expression" dxfId="31" priority="31" stopIfTrue="1">
      <formula>IF(F68=0,TRUE)</formula>
    </cfRule>
  </conditionalFormatting>
  <conditionalFormatting sqref="C69">
    <cfRule type="expression" dxfId="30" priority="13" stopIfTrue="1">
      <formula>C69="Not Required"</formula>
    </cfRule>
    <cfRule type="expression" dxfId="29" priority="21" stopIfTrue="1">
      <formula>OR(C69="Complete",C69="填写",C69="記入",C69="완료",C69="Complétez",C69="Concluído",C69="Vollständig",C69="Completare",C69="Doldurun")</formula>
    </cfRule>
  </conditionalFormatting>
  <conditionalFormatting sqref="A69">
    <cfRule type="expression" dxfId="28" priority="14" stopIfTrue="1">
      <formula>C69="Not Required"</formula>
    </cfRule>
    <cfRule type="expression" dxfId="27"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26" priority="347" stopIfTrue="1">
      <formula>$F4=0</formula>
    </cfRule>
    <cfRule type="expression" dxfId="25" priority="348" stopIfTrue="1">
      <formula>$H4=0</formula>
    </cfRule>
    <cfRule type="expression" dxfId="24" priority="349" stopIfTrue="1">
      <formula>$H4=1</formula>
    </cfRule>
  </conditionalFormatting>
  <conditionalFormatting sqref="C69 A69">
    <cfRule type="expression" dxfId="23" priority="11" stopIfTrue="1">
      <formula>IF(AND($F$69=1,$G$69=1),TRUE,FALSE)</formula>
    </cfRule>
  </conditionalFormatting>
  <conditionalFormatting sqref="A29:A32">
    <cfRule type="expression" dxfId="22" priority="2" stopIfTrue="1">
      <formula>$F29=0</formula>
    </cfRule>
    <cfRule type="expression" dxfId="21" priority="3" stopIfTrue="1">
      <formula>$H29=0</formula>
    </cfRule>
    <cfRule type="expression" dxfId="20" priority="4" stopIfTrue="1">
      <formula>$H29=1</formula>
    </cfRule>
  </conditionalFormatting>
  <conditionalFormatting sqref="B65">
    <cfRule type="expression" dxfId="19" priority="1" stopIfTrue="1">
      <formula>IF(F65=0,TRUE)</formula>
    </cfRule>
  </conditionalFormatting>
  <conditionalFormatting sqref="A5:A13">
    <cfRule type="expression" dxfId="18" priority="49" stopIfTrue="1">
      <formula>$F5=0</formula>
    </cfRule>
    <cfRule type="expression" dxfId="17" priority="50" stopIfTrue="1">
      <formula>AND($F5=1,$G5=0)</formula>
    </cfRule>
    <cfRule type="expression" dxfId="16"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6" ht="35.1" customHeight="1" thickTop="1">
      <c r="A1" s="449" t="str">
        <f ca="1">OFFSET(L!$C$1,MATCH("Product List"&amp;ADDRESS(ROW(),COLUMN(),4),L!$A:$A,0)-1,SL,,)</f>
        <v>Completion required only if reporting level "Product (or List of Products)" selected on the 'Declaration' worksheet.</v>
      </c>
      <c r="B1" s="450"/>
      <c r="C1" s="450"/>
      <c r="D1" s="450"/>
      <c r="E1" s="145"/>
    </row>
    <row r="2" spans="1:6" ht="13.2">
      <c r="A2" s="29"/>
      <c r="B2" s="147"/>
      <c r="C2" s="147"/>
      <c r="D2"/>
      <c r="E2" s="30"/>
    </row>
    <row r="3" spans="1:6" ht="13.2">
      <c r="A3" s="29"/>
      <c r="B3" s="147"/>
      <c r="C3" s="147"/>
      <c r="D3" s="147"/>
      <c r="E3" s="30"/>
    </row>
    <row r="4" spans="1:6" ht="15.75" customHeight="1">
      <c r="A4" s="29"/>
      <c r="B4" s="448" t="s">
        <v>898</v>
      </c>
      <c r="C4" s="448"/>
      <c r="D4" s="448"/>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51" t="str">
        <f ca="1">OFFSET(L!$C$1,MATCH("General"&amp;"Cpy",L!$A:$A,0)-1,SL,,)</f>
        <v>© 2021 Responsible Minerals Initiative. All rights reserved.</v>
      </c>
      <c r="C1001" s="451"/>
      <c r="D1001" s="451"/>
      <c r="E1001" s="31"/>
    </row>
    <row r="1002" spans="1:6" ht="13.2"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1640625" defaultRowHeight="12.6"/>
  <cols>
    <col min="1" max="1" width="9.1796875" style="224" bestFit="1" customWidth="1"/>
    <col min="2" max="2" width="42.81640625" style="224" customWidth="1"/>
    <col min="3" max="3" width="63.81640625" style="224" customWidth="1"/>
    <col min="4" max="4" width="25.6328125" style="224" customWidth="1"/>
    <col min="5" max="5" width="12.6328125" style="224" customWidth="1"/>
    <col min="6" max="6" width="12.6328125" style="225" customWidth="1"/>
    <col min="7" max="7" width="15.36328125" style="224" customWidth="1"/>
    <col min="8" max="8" width="23.81640625" style="224" customWidth="1"/>
    <col min="9" max="9" width="28.1796875" style="224" customWidth="1"/>
    <col min="10" max="10" width="48.26953125" style="224" hidden="1" customWidth="1"/>
    <col min="11" max="11" width="49.7265625" style="224" hidden="1" customWidth="1"/>
    <col min="12" max="13" width="49.7265625" style="224" customWidth="1"/>
    <col min="14" max="16384" width="8.81640625" style="224"/>
  </cols>
  <sheetData>
    <row r="1" spans="1:16" ht="168.6" customHeight="1">
      <c r="A1" s="45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2"/>
      <c r="C1" s="452"/>
      <c r="D1" s="452"/>
      <c r="E1" s="452"/>
      <c r="F1" s="452"/>
      <c r="G1" s="452"/>
    </row>
    <row r="2" spans="1:16">
      <c r="A2" s="453"/>
      <c r="B2" s="453"/>
      <c r="C2" s="453"/>
      <c r="D2" s="453"/>
      <c r="E2" s="453"/>
      <c r="F2" s="453"/>
      <c r="G2" s="453"/>
      <c r="H2" s="453"/>
      <c r="I2" s="453"/>
    </row>
    <row r="3" spans="1:16">
      <c r="A3" s="453"/>
      <c r="B3" s="453"/>
      <c r="C3" s="453"/>
      <c r="D3" s="453"/>
      <c r="E3" s="453"/>
      <c r="F3" s="453"/>
      <c r="G3" s="453"/>
      <c r="H3" s="453"/>
      <c r="I3" s="453"/>
    </row>
    <row r="4" spans="1:16" s="227" customFormat="1" ht="50.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2"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15" priority="25" stopIfTrue="1" operator="equal">
      <formula>"Yes"</formula>
    </cfRule>
  </conditionalFormatting>
  <conditionalFormatting sqref="K5">
    <cfRule type="cellIs" dxfId="14" priority="9" stopIfTrue="1" operator="equal">
      <formula>"Yes"</formula>
    </cfRule>
  </conditionalFormatting>
  <conditionalFormatting sqref="J292:J293">
    <cfRule type="cellIs" dxfId="13" priority="7" stopIfTrue="1" operator="equal">
      <formula>"Yes"</formula>
    </cfRule>
  </conditionalFormatting>
  <conditionalFormatting sqref="J354:J355">
    <cfRule type="cellIs" dxfId="12" priority="6" stopIfTrue="1" operator="equal">
      <formula>"Yes"</formula>
    </cfRule>
  </conditionalFormatting>
  <conditionalFormatting sqref="J486:J487">
    <cfRule type="cellIs" dxfId="11" priority="5" stopIfTrue="1" operator="equal">
      <formula>"Yes"</formula>
    </cfRule>
  </conditionalFormatting>
  <conditionalFormatting sqref="J313:J314">
    <cfRule type="cellIs" dxfId="10" priority="4" stopIfTrue="1" operator="equal">
      <formula>"Yes"</formula>
    </cfRule>
  </conditionalFormatting>
  <conditionalFormatting sqref="J381:J382">
    <cfRule type="cellIs" dxfId="9" priority="3" stopIfTrue="1" operator="equal">
      <formula>"Yes"</formula>
    </cfRule>
  </conditionalFormatting>
  <conditionalFormatting sqref="J531:J532">
    <cfRule type="cellIs" dxfId="8" priority="2" stopIfTrue="1" operator="equal">
      <formula>"Yes"</formula>
    </cfRule>
  </conditionalFormatting>
  <conditionalFormatting sqref="J609:J610">
    <cfRule type="cellIs" dxfId="7"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baseColWidth="10" defaultColWidth="8.81640625" defaultRowHeight="13.8"/>
  <cols>
    <col min="1" max="1" width="14.6328125" style="288" customWidth="1"/>
    <col min="2" max="2" width="14" style="288" customWidth="1"/>
    <col min="3" max="3" width="6.1796875" style="288" customWidth="1"/>
    <col min="4" max="4" width="56.26953125" style="288" customWidth="1"/>
    <col min="5" max="5" width="53.7265625" style="283" customWidth="1"/>
    <col min="6" max="6" width="54.1796875" style="288" customWidth="1"/>
    <col min="7" max="7" width="68.26953125" style="291" customWidth="1"/>
    <col min="8" max="8" width="49.26953125" style="288" customWidth="1"/>
    <col min="9" max="9" width="51.6328125" style="288" customWidth="1"/>
    <col min="10" max="10" width="50.26953125" style="288" customWidth="1"/>
    <col min="11" max="11" width="51.81640625" style="252" customWidth="1"/>
    <col min="12" max="12" width="66.81640625" style="318" customWidth="1"/>
    <col min="13" max="13" width="46.1796875" style="185" customWidth="1"/>
    <col min="14" max="15" width="8.81640625" style="185" customWidth="1"/>
    <col min="16" max="16384" width="8.8164062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2.8">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45">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1.4">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7.6">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6">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41.4">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1.4">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1.4">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1.4">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69">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27.6">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82.8">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7.6">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69">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1.4">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1.4">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38.6">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13.4">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6">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41.4">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360">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14.2">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43.6">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15.2">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15.2">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1.4">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57.6">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96.6">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10.4">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00.8">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358.8">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01.6">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187.2">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86.4">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1.4">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7.6">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86.4">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69">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5.2">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38">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2.8">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82.8">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10.4">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69">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3.2">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3.2">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0.4">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31.2">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82.8">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65.6">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193.2">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10.4">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41.4">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193.2">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27.6">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03.60000000000002">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51.80000000000001">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38">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289.8">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96.6">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41.4">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69">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7.6">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1.4">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7.6">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7.6">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7.6">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7.6">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7.6">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7.6">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5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7.6">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7.6">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7.6">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7.6">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2.8">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76.4">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24.2">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51.80000000000001">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69">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38">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10.4">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38">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6">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20.8">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10.4">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17.39999999999998">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07">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7.6">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69">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7.6">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51.8000000000000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96.6">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262.2">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34.6">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7.6">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38">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82.8">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193.2">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193.2">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179.4">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7.6">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7.6">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41.4">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43.2">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5.2">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7.6">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7.6">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7.6">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7.6">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27.6">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28.8">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14.4">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0.4">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7.799999999999997">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37.799999999999997">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28.8">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28.8">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7.799999999999997">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7.6">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69">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0.4">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7.799999999999997">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28.8">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41.4">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7.6">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28.8">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14.4">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14.4">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14.4">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14.4">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14.4">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14.4">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14.4">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14.4">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14.4">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7.6">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7.6">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7.6">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7.6">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7.6">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7.6">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7.6">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27.6">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1.4">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5.2">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27.6">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1.4">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6">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5.2">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7.6">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27.6">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7.6">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7.6">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7.6">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7.6">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1.4">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41.4">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27.6">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27.6">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27.6">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27.6">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27.6">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5.2">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5.2">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5.2">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5.2">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55.2">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55.2">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55.2">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55.2">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55.2">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55.2">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55.2">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55.2">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55.2">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55.2">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55.2">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55.2">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41.4">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5.2">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5.2">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5.2">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1.4">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1.4">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1.4">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1.4">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5.2">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55.2">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5.2">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82.8">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41.4">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41.4">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1.4">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41.4">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41.4">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41.4">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7.6">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2.8">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6">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7.6">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69">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7.6">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7.6">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69">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SyracuseOfficeCustomData>{"createMode":"plain_doc","forceRefresh":"0"}</SyracuseOfficeCustomData>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4.xml><?xml version="1.0" encoding="utf-8"?>
<ds:datastoreItem xmlns:ds="http://schemas.openxmlformats.org/officeDocument/2006/customXml" ds:itemID="{D93BF752-C9BA-4456-871F-15027FF2BB78}">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GROS Vanessa</cp:lastModifiedBy>
  <cp:lastPrinted>2015-04-21T20:47:43Z</cp:lastPrinted>
  <dcterms:created xsi:type="dcterms:W3CDTF">2010-06-21T21:00:23Z</dcterms:created>
  <dcterms:modified xsi:type="dcterms:W3CDTF">2021-07-13T12:05:53Z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