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showInkAnnotation="0" codeName="ThisWorkbook" autoCompressPictures="0"/>
  <mc:AlternateContent xmlns:mc="http://schemas.openxmlformats.org/markup-compatibility/2006">
    <mc:Choice Requires="x15">
      <x15ac:absPath xmlns:x15ac="http://schemas.microsoft.com/office/spreadsheetml/2010/11/ac" url="C:\Users\VIVIANT Jerome\Desktop\"/>
    </mc:Choice>
  </mc:AlternateContent>
  <xr:revisionPtr revIDLastSave="0" documentId="13_ncr:1_{96F11DC2-443D-44E7-B51E-1B7055B8087A}" xr6:coauthVersionLast="45" xr6:coauthVersionMax="45" xr10:uidLastSave="{00000000-0000-0000-0000-000000000000}"/>
  <workbookProtection workbookPassword="E31B" lockStructure="1"/>
  <bookViews>
    <workbookView xWindow="-108" yWindow="-108" windowWidth="23256" windowHeight="131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Declaration!$A$1:$L$88</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5" i="5"/>
  <c r="C5" i="5"/>
  <c r="B14" i="5"/>
  <c r="C14" i="5"/>
  <c r="B6" i="5"/>
  <c r="C6"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c r="B50" i="6"/>
  <c r="G50" i="6" s="1"/>
  <c r="H14" i="6"/>
  <c r="H61" i="4"/>
  <c r="B86" i="4"/>
  <c r="F23" i="6"/>
  <c r="B33" i="6" l="1"/>
  <c r="B43" i="6"/>
  <c r="B23" i="6"/>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12" i="6" l="1"/>
  <c r="C13" i="6"/>
  <c r="C11" i="6"/>
  <c r="C4" i="6"/>
  <c r="C10" i="6"/>
  <c r="C8" i="6"/>
  <c r="C7" i="6"/>
  <c r="C5" i="6"/>
  <c r="B38" i="6"/>
  <c r="B28"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H25" i="6" s="1"/>
  <c r="C25" i="6" s="1"/>
  <c r="F25" i="6"/>
  <c r="B40" i="6"/>
  <c r="G40" i="6" s="1"/>
  <c r="F26" i="6"/>
  <c r="F41" i="6" s="1"/>
  <c r="B30" i="6"/>
  <c r="G30" i="6" s="1"/>
  <c r="B41" i="6"/>
  <c r="F36" i="6"/>
  <c r="G21" i="6"/>
  <c r="H21" i="6" s="1"/>
  <c r="B26" i="6"/>
  <c r="G26" i="6" s="1"/>
  <c r="H26" i="6" s="1"/>
  <c r="C26" i="6" s="1"/>
  <c r="B36" i="6"/>
  <c r="B46" i="6"/>
  <c r="G46" i="6" s="1"/>
  <c r="G31" i="6"/>
  <c r="H22" i="6"/>
  <c r="D22" i="6" s="1"/>
  <c r="G47" i="6"/>
  <c r="G42" i="6"/>
  <c r="K65" i="6"/>
  <c r="C65" i="6" s="1"/>
  <c r="G27" i="6"/>
  <c r="G32" i="6"/>
  <c r="G43" i="6"/>
  <c r="G38" i="6"/>
  <c r="G35" i="6"/>
  <c r="G28" i="6"/>
  <c r="G33" i="6"/>
  <c r="G41"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C2" i="6"/>
  <c r="H61" i="6"/>
  <c r="D37" i="4"/>
  <c r="D43" i="4"/>
  <c r="D61" i="4"/>
  <c r="D55" i="4"/>
  <c r="D68" i="4"/>
  <c r="D31" i="4"/>
  <c r="D49" i="4"/>
  <c r="G36" i="6" s="1"/>
  <c r="H36" i="6" s="1"/>
  <c r="C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F63" i="6" l="1"/>
  <c r="H42" i="6"/>
  <c r="H41" i="6"/>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F35" i="6"/>
  <c r="H35" i="6" s="1"/>
  <c r="F30" i="6"/>
  <c r="H30" i="6" s="1"/>
  <c r="H40" i="6"/>
  <c r="D40" i="6" s="1"/>
  <c r="F46" i="6"/>
  <c r="H46" i="6" s="1"/>
  <c r="F31" i="6"/>
  <c r="H31" i="6" s="1"/>
  <c r="D31" i="6" s="1"/>
  <c r="C20" i="6"/>
  <c r="D21" i="6"/>
  <c r="C21" i="6"/>
  <c r="K63" i="6"/>
  <c r="C63" i="6" s="1"/>
  <c r="D26" i="6"/>
  <c r="H32" i="6"/>
  <c r="C32" i="6" s="1"/>
  <c r="C22" i="6"/>
  <c r="C41" i="6"/>
  <c r="D41" i="6"/>
  <c r="F38" i="6"/>
  <c r="H38" i="6" s="1"/>
  <c r="F43" i="6"/>
  <c r="H43" i="6" s="1"/>
  <c r="H28" i="6"/>
  <c r="F65" i="6"/>
  <c r="F33" i="6"/>
  <c r="H33" i="6" s="1"/>
  <c r="F48" i="6"/>
  <c r="H48" i="6" s="1"/>
  <c r="D36" i="6"/>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5" i="6" l="1"/>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X57" i="5" l="1"/>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<sst xmlns="http://schemas.openxmlformats.org/spreadsheetml/2006/main" count="21608" uniqueCount="15504">
  <si>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</si>
  <si>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</si>
  <si>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</si>
  <si>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</si>
  <si>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</si>
  <si>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</si>
  <si>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</si>
  <si>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</si>
  <si>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</si>
  <si>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</si>
  <si>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</si>
  <si>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</si>
  <si>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</si>
  <si>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</si>
  <si>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</si>
  <si>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</si>
  <si>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</si>
  <si>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</si>
  <si>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</si>
  <si>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</si>
  <si>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</si>
  <si>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</si>
  <si>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</si>
  <si>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</si>
  <si>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</si>
  <si>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</si>
  <si>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</si>
  <si>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</si>
  <si>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</si>
  <si>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</si>
  <si>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</si>
  <si>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</si>
  <si>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</si>
  <si>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</si>
  <si>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</si>
  <si>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</si>
  <si>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</si>
  <si>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</si>
  <si>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</si>
  <si>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</si>
  <si>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</si>
  <si>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</si>
  <si>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</si>
  <si>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</si>
  <si>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</si>
  <si>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</si>
  <si>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</si>
  <si>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</si>
  <si>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</si>
  <si>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</si>
  <si>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</si>
  <si>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</si>
  <si>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</si>
  <si>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</si>
  <si>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</si>
  <si>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</si>
  <si>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</si>
  <si>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</si>
  <si>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</si>
  <si>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</si>
  <si>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</si>
  <si>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</si>
  <si>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</si>
  <si>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</si>
  <si>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</si>
  <si>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</si>
  <si>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</si>
  <si>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</si>
  <si>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</si>
  <si>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</si>
  <si>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</si>
  <si>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</si>
  <si>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</si>
  <si>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</si>
  <si>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</si>
  <si>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</si>
  <si>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</si>
  <si>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</si>
  <si>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</si>
  <si>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</si>
  <si>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</si>
  <si>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</si>
  <si>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</si>
  <si>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</si>
  <si>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</si>
  <si>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</si>
  <si>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</si>
  <si>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</si>
  <si>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</si>
  <si>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</si>
  <si>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</si>
  <si>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</si>
  <si>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</si>
  <si>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</si>
  <si>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</si>
  <si>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</si>
  <si>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</si>
  <si>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</si>
  <si>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</si>
  <si>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</si>
  <si>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</si>
  <si>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</si>
  <si>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</si>
  <si>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</si>
  <si>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</si>
  <si>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</si>
  <si>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</si>
  <si>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</si>
  <si>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</si>
  <si>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</si>
  <si>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</si>
  <si>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</si>
  <si>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</si>
  <si>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</si>
  <si>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</si>
  <si>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</si>
  <si>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</si>
  <si>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</si>
  <si>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</si>
  <si>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</si>
  <si>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</si>
  <si>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</si>
  <si>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</si>
  <si>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</si>
  <si>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</si>
  <si>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</si>
  <si>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</si>
  <si>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</si>
  <si>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</si>
  <si>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</si>
  <si>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</si>
  <si>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</si>
  <si>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</si>
  <si>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</si>
  <si>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</si>
  <si>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</si>
  <si>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</si>
  <si>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</si>
  <si>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</si>
  <si>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</si>
  <si>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</si>
  <si>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</si>
  <si>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</si>
  <si>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</si>
  <si>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</si>
  <si>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</si>
  <si>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</si>
  <si>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</si>
  <si>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</si>
  <si>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</si>
  <si>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</si>
  <si>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</si>
  <si>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</si>
  <si>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</si>
  <si>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</si>
  <si>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</si>
  <si>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</si>
  <si>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</si>
  <si>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</si>
  <si>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</si>
  <si>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</si>
  <si>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</si>
  <si>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</si>
  <si>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</si>
  <si>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</si>
  <si>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</si>
  <si>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</si>
  <si>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</si>
  <si>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</si>
  <si>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</si>
  <si>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</si>
  <si>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</si>
  <si>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</si>
  <si>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</si>
  <si>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</si>
  <si>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</si>
  <si>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</si>
  <si>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</si>
  <si>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</si>
  <si>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</si>
  <si>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</si>
  <si>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</si>
  <si>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</si>
  <si>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</si>
  <si>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</si>
  <si>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</si>
  <si>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</si>
  <si>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</si>
  <si>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</si>
  <si>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</si>
  <si>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</si>
  <si>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</si>
  <si>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</si>
  <si>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</si>
  <si>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</si>
  <si>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</si>
  <si>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</si>
  <si>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</si>
  <si>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</si>
  <si>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</si>
  <si>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</si>
  <si>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</si>
  <si>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</si>
  <si>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</si>
  <si>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</si>
  <si>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</si>
  <si>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</si>
  <si>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</si>
  <si>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</si>
  <si>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</si>
  <si>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</si>
  <si>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</si>
  <si>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</si>
  <si>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</si>
  <si>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</si>
  <si>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</si>
  <si>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</si>
  <si>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</si>
  <si>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</si>
  <si>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</si>
  <si>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</si>
  <si>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</si>
  <si>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</si>
  <si>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</si>
  <si>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</si>
  <si>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</si>
  <si>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</si>
  <si>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</si>
  <si>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</si>
  <si>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</si>
  <si>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</si>
  <si>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</si>
  <si>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</si>
  <si>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</si>
  <si>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</si>
  <si>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</si>
  <si>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</si>
  <si>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</si>
  <si>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</si>
  <si>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</si>
  <si>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</si>
  <si>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</si>
  <si>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</si>
  <si>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</si>
  <si>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</si>
  <si>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</si>
  <si>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</si>
  <si>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</si>
  <si>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</si>
  <si>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</si>
  <si>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</si>
  <si>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</si>
  <si>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</si>
  <si>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</si>
  <si>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</si>
  <si>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</si>
  <si>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</si>
  <si>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</si>
  <si>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</si>
  <si>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</si>
  <si>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</si>
  <si>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</si>
  <si>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</si>
  <si>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</si>
  <si>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</si>
  <si>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</si>
  <si>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</si>
  <si>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</si>
  <si>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</si>
  <si>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</si>
  <si>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</si>
  <si>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</si>
  <si>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</si>
  <si>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</si>
  <si>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</si>
  <si>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</si>
  <si>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</si>
  <si>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</si>
  <si>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</si>
  <si>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</si>
  <si>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</si>
  <si>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</si>
  <si>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</si>
  <si>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</si>
  <si>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</si>
  <si>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</si>
  <si>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</si>
  <si>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</si>
  <si>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</si>
  <si>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</si>
  <si>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</si>
  <si>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</si>
  <si>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</si>
  <si>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</si>
  <si>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</si>
  <si>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</si>
  <si>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</si>
  <si>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</si>
  <si>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</si>
  <si>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</si>
  <si>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</si>
  <si>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</si>
  <si>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</si>
  <si>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</si>
  <si>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</si>
  <si>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</si>
  <si>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</si>
  <si>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</si>
  <si>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</si>
  <si>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</si>
  <si>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</si>
  <si>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</si>
  <si>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</si>
  <si>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</si>
  <si>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</si>
  <si>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</si>
  <si>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</si>
  <si>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</si>
  <si>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</si>
  <si>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</si>
  <si>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</si>
  <si>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</si>
  <si>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</si>
  <si>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</si>
  <si>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</si>
  <si>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</si>
  <si>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</si>
  <si>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</si>
  <si>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</si>
  <si>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</si>
  <si>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</si>
  <si>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</si>
  <si>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</si>
  <si>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</si>
  <si>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</si>
  <si>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</si>
  <si>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</si>
  <si>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</si>
  <si>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</si>
  <si>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</si>
  <si>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</si>
  <si>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</si>
  <si>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</si>
  <si>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</si>
  <si>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</si>
  <si>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</si>
  <si>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</si>
  <si>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</si>
  <si>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</si>
  <si>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</si>
  <si>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</si>
  <si>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</si>
  <si>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</si>
  <si>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</si>
  <si>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</si>
  <si>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</si>
  <si>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</si>
  <si>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</si>
  <si>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</si>
  <si>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</si>
  <si>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</si>
  <si>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</si>
  <si>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</si>
  <si>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</si>
  <si>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</si>
  <si>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</si>
  <si>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</si>
  <si>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</si>
  <si>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</si>
  <si>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</si>
  <si>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</si>
  <si>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</si>
  <si>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</si>
  <si>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</si>
  <si>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</si>
  <si>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</si>
  <si>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</si>
  <si>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</si>
  <si>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</si>
  <si>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</si>
  <si>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</si>
  <si>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</si>
  <si>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</si>
  <si>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</si>
  <si>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</si>
  <si>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</si>
  <si>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</si>
  <si>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</si>
  <si>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</si>
  <si>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</si>
  <si>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</si>
  <si>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</si>
  <si>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</si>
  <si>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</si>
  <si>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</si>
  <si>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</si>
  <si>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</si>
  <si>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</si>
  <si>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</si>
  <si>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</si>
  <si>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</si>
  <si>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</si>
  <si>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</si>
  <si>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</si>
  <si>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</si>
  <si>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</si>
  <si>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</si>
  <si>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</si>
  <si>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</si>
  <si>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</si>
  <si>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</si>
  <si>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</si>
  <si>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</si>
  <si>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</si>
  <si>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</si>
  <si>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</si>
  <si>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</si>
  <si>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</si>
  <si>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</si>
  <si>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</si>
  <si>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</si>
  <si>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</si>
  <si>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</si>
  <si>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</si>
  <si>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</si>
  <si>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</si>
  <si>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</si>
  <si>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</si>
  <si>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</si>
  <si>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</si>
  <si>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</si>
  <si>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</si>
  <si>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</si>
  <si>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</si>
  <si>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</si>
  <si>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</si>
  <si>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</si>
  <si>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</si>
  <si>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</si>
  <si>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</si>
  <si>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</si>
  <si>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</si>
  <si>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</si>
  <si>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</si>
  <si>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</si>
  <si>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</si>
  <si>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</si>
  <si>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</si>
  <si>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</si>
  <si>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</si>
  <si>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</si>
  <si>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</si>
  <si>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</si>
  <si>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</si>
  <si>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</si>
  <si>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</si>
  <si>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</si>
  <si>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</si>
  <si>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</si>
  <si>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</si>
  <si>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</si>
  <si>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</si>
  <si>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</si>
  <si>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</si>
  <si>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</si>
  <si>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</si>
  <si>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</si>
  <si>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</si>
  <si>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</si>
  <si>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</si>
  <si>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</si>
  <si>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</si>
  <si>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</si>
  <si>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</si>
  <si>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</si>
  <si>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</si>
  <si>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</si>
  <si>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</si>
  <si>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</si>
  <si>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</si>
  <si>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</si>
  <si>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</si>
  <si>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</si>
  <si>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</si>
  <si>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</si>
  <si>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</si>
  <si>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</si>
  <si>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</si>
  <si>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</si>
  <si>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</si>
  <si>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</si>
  <si>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</si>
  <si>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</si>
  <si>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</si>
  <si>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</si>
  <si>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</si>
  <si>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</si>
  <si>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</si>
  <si>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</si>
  <si>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</si>
  <si>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</si>
  <si>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</si>
  <si>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</si>
  <si>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</si>
  <si>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</si>
  <si>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</si>
  <si>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</si>
  <si>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</si>
  <si>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</si>
  <si>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</si>
  <si>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</si>
  <si>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</si>
  <si>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</si>
  <si>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</si>
  <si>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</si>
  <si>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</si>
  <si>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</si>
  <si>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</si>
  <si>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</si>
  <si>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</si>
  <si>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</si>
  <si>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</si>
  <si>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</si>
  <si>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</si>
  <si>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</si>
  <si>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</si>
  <si>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</si>
  <si>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</si>
  <si>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</si>
  <si>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</si>
  <si>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</si>
  <si>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</si>
  <si>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</si>
  <si>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</si>
  <si>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</si>
  <si>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</si>
  <si>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</si>
  <si>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</si>
  <si>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</si>
  <si>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</si>
  <si>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</si>
  <si>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</si>
  <si>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</si>
  <si>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</si>
  <si>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</si>
  <si>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</si>
  <si>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</si>
  <si>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</si>
  <si>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</si>
  <si>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</si>
  <si>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</si>
  <si>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</si>
  <si>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</si>
  <si>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</si>
  <si>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</si>
  <si>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</si>
  <si>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</si>
  <si>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</si>
  <si>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</si>
  <si>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</si>
  <si>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</si>
  <si>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</si>
  <si>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</si>
  <si>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</si>
  <si>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</si>
  <si>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</si>
  <si>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</si>
  <si>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</si>
  <si>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</si>
  <si>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</si>
  <si>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</si>
  <si>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</si>
  <si>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</si>
  <si>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</si>
  <si>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</si>
  <si>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</si>
  <si>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</si>
  <si>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</si>
  <si>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</si>
  <si>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</si>
  <si>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</si>
  <si>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</si>
  <si>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</si>
  <si>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</si>
  <si>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</si>
  <si>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</si>
  <si>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</si>
  <si>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</si>
  <si>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</si>
  <si>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</si>
  <si>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</si>
  <si>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</si>
  <si>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</si>
  <si>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</si>
  <si>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</si>
  <si>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</si>
  <si>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</si>
  <si>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</si>
  <si>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</si>
  <si>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</si>
  <si>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</si>
  <si>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</si>
  <si>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</si>
  <si>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</si>
  <si>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</si>
  <si>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</si>
  <si>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</si>
  <si>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</si>
  <si>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</si>
  <si>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</si>
  <si>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</si>
  <si>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</si>
  <si>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</si>
  <si>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</si>
  <si>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</si>
  <si>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</si>
  <si>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</si>
  <si>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</si>
  <si>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</si>
  <si>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</si>
  <si>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</si>
  <si>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</si>
  <si>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</si>
  <si>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</si>
  <si>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</si>
  <si>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</si>
  <si>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</si>
  <si>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</si>
  <si>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</si>
  <si>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</si>
  <si>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</si>
  <si>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</si>
  <si>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</si>
  <si>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</si>
  <si>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</si>
  <si>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</si>
  <si>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</si>
  <si>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</si>
  <si>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</si>
  <si>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</si>
  <si>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</si>
  <si>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</si>
  <si>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</si>
  <si>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</si>
  <si>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</si>
  <si>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</si>
  <si>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</si>
  <si>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</si>
  <si>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</si>
  <si>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</si>
  <si>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</si>
  <si>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</si>
  <si>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</si>
  <si>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</si>
  <si>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</si>
  <si>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</si>
  <si>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</si>
  <si>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</si>
  <si>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</si>
  <si>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</si>
  <si>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</si>
  <si>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</si>
  <si>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</si>
  <si>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</si>
  <si>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</si>
  <si>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</si>
  <si>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</si>
  <si>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</si>
  <si>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</si>
  <si>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</si>
  <si>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</si>
  <si>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</si>
  <si>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</si>
  <si>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</si>
  <si>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</si>
  <si>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</si>
  <si>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</si>
  <si>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</si>
  <si>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</si>
  <si>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</si>
  <si>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</si>
  <si>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</si>
  <si>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</si>
  <si>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</si>
  <si>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</si>
  <si>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</si>
  <si>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</si>
  <si>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</si>
  <si>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</si>
  <si>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</si>
  <si>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</si>
  <si>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</si>
  <si>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</si>
  <si>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</si>
  <si>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</si>
  <si>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</si>
  <si>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</si>
  <si>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</si>
  <si>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</si>
  <si>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</si>
  <si>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</si>
  <si>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</si>
  <si>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</si>
  <si>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</si>
  <si>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</si>
  <si>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</si>
  <si>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</si>
  <si>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</si>
  <si>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</si>
  <si>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</si>
  <si>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</si>
  <si>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</si>
  <si>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</si>
  <si>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</si>
  <si>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</si>
  <si>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</si>
  <si>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</si>
  <si>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</si>
  <si>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</si>
  <si>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</si>
  <si>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</si>
  <si>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</si>
  <si>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</si>
  <si>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</si>
  <si>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</si>
  <si>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</si>
  <si>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</si>
  <si>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</si>
  <si>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</si>
  <si>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</si>
  <si>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</si>
  <si>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</si>
  <si>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</si>
  <si>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</si>
  <si>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</si>
  <si>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</si>
  <si>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</si>
  <si>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</si>
  <si>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</si>
  <si>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</si>
  <si>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</si>
  <si>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</si>
  <si>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</si>
  <si>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</si>
  <si>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</si>
  <si>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</si>
  <si>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</si>
  <si>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</si>
  <si>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</si>
  <si>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</si>
  <si>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</si>
  <si>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</si>
  <si>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</si>
  <si>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</si>
  <si>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</si>
  <si>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</si>
  <si>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</si>
  <si>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</si>
  <si>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</si>
  <si>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</si>
  <si>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</si>
  <si>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</si>
  <si>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</si>
  <si>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</si>
  <si>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</si>
  <si>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</si>
  <si>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</si>
  <si>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</si>
  <si>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</si>
  <si>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</si>
  <si>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</si>
  <si>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</si>
  <si>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</si>
  <si>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</si>
  <si>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</si>
  <si>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</si>
  <si>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</si>
  <si>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</si>
  <si>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</si>
  <si>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</si>
  <si>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</si>
  <si>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</si>
  <si>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</si>
  <si>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</si>
  <si>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</si>
  <si>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</si>
  <si>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</si>
  <si>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</si>
  <si>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</si>
  <si>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</si>
  <si>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</si>
  <si>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</si>
  <si>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</si>
  <si>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</si>
  <si>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</si>
  <si>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</si>
  <si>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</si>
  <si>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</si>
  <si>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</si>
  <si>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</si>
  <si>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</si>
  <si>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</si>
  <si>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</si>
  <si>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</si>
  <si>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</si>
  <si>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</si>
  <si>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</si>
  <si>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</si>
  <si>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</si>
  <si>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</si>
  <si>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</si>
  <si>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</si>
  <si>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</si>
  <si>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</si>
  <si>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</si>
  <si>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</si>
  <si>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</si>
  <si>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</si>
  <si>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</si>
  <si>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</si>
  <si>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</si>
  <si>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</si>
  <si>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</si>
  <si>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</si>
  <si>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</si>
  <si>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</si>
  <si>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</si>
  <si>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</si>
  <si>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</si>
  <si>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</si>
  <si>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</si>
  <si>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</si>
  <si>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</si>
  <si>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</si>
  <si>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</si>
  <si>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</si>
  <si>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</si>
  <si>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</si>
  <si>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</si>
  <si>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</si>
  <si>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</si>
  <si>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</si>
  <si>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</si>
  <si>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</si>
  <si>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</si>
  <si>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</si>
  <si>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</si>
  <si>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</si>
  <si>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</si>
  <si>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</si>
  <si>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</si>
  <si>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</si>
  <si>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</si>
  <si>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</si>
  <si>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</si>
  <si>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</si>
  <si>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</si>
  <si>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</si>
  <si>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</si>
  <si>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</si>
  <si>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</si>
  <si>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</si>
  <si>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</si>
  <si>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</si>
  <si>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</si>
  <si>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</si>
  <si>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</si>
  <si>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</si>
  <si>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</si>
  <si>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</si>
  <si>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</si>
  <si>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</si>
  <si>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</si>
  <si>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</si>
  <si>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</si>
  <si>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</si>
  <si>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</si>
  <si>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</si>
  <si>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</si>
  <si>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</si>
  <si>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</si>
  <si>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</si>
  <si>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</si>
  <si>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</si>
  <si>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</si>
  <si>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</si>
  <si>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</si>
  <si>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</si>
  <si>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</si>
  <si>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</si>
  <si>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</si>
  <si>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</si>
  <si>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</si>
  <si>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</si>
  <si>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</si>
  <si>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</si>
  <si>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</si>
  <si>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</si>
  <si>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</si>
  <si>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</si>
  <si>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</si>
  <si>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</si>
  <si>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</si>
  <si>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</si>
  <si>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</si>
  <si>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</si>
  <si>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</si>
  <si>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</si>
  <si>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</si>
  <si>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</si>
  <si>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</si>
  <si>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</si>
  <si>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</si>
  <si>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</si>
  <si>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</si>
  <si>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</si>
  <si>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</si>
  <si>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</si>
  <si>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</si>
  <si>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</si>
  <si>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</si>
  <si>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</si>
  <si>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</si>
  <si>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</si>
  <si>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</si>
  <si>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</si>
  <si>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</si>
  <si>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</si>
  <si>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</si>
  <si>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</si>
  <si>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</si>
  <si>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</si>
  <si>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</si>
  <si>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</si>
  <si>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</si>
  <si>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</si>
  <si>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</si>
  <si>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</si>
  <si>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</si>
  <si>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</si>
  <si>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</si>
  <si>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</si>
  <si>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</si>
  <si>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</si>
  <si>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</si>
  <si>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</si>
  <si>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</si>
  <si>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</si>
  <si>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</si>
  <si>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</si>
  <si>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</si>
  <si>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</si>
  <si>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</si>
  <si>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</si>
  <si>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</si>
  <si>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</si>
  <si>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</si>
  <si>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</si>
  <si>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</si>
  <si>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</si>
  <si>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</si>
  <si>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</si>
  <si>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</si>
  <si>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</si>
  <si>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</si>
  <si>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</si>
  <si>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</si>
  <si>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</si>
  <si>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</si>
  <si>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</si>
  <si>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</si>
  <si>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</si>
  <si>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</si>
  <si>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</si>
  <si>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</si>
  <si>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</si>
  <si>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</si>
  <si>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</si>
  <si>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</si>
  <si>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</si>
  <si>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</si>
  <si>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</si>
  <si>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</si>
  <si>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</si>
  <si>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</si>
  <si>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</si>
  <si>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</si>
  <si>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</si>
  <si>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</si>
  <si>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</si>
  <si>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</si>
  <si>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</si>
  <si>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</si>
  <si>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</si>
  <si>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</si>
  <si>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</si>
  <si>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</si>
  <si>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</si>
  <si>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</si>
  <si>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</si>
  <si>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</si>
  <si>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</si>
  <si>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</si>
  <si>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</si>
  <si>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</si>
  <si>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</si>
  <si>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</si>
  <si>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</si>
  <si>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</si>
  <si>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</si>
  <si>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</si>
  <si>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</si>
  <si>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</si>
  <si>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</si>
  <si>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</si>
  <si>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</si>
  <si>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</si>
  <si>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</si>
  <si>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</si>
  <si>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</si>
  <si>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</si>
  <si>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</si>
  <si>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</si>
  <si>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</si>
  <si>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</si>
  <si>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</si>
  <si>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</si>
  <si>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</si>
  <si>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</si>
  <si>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</si>
  <si>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</si>
  <si>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</si>
  <si>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</si>
  <si>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</si>
  <si>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</si>
  <si>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</si>
  <si>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</si>
  <si>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</si>
  <si>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</si>
  <si>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</si>
  <si>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</si>
  <si>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</si>
  <si>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</si>
  <si>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</si>
  <si>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</si>
  <si>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</si>
  <si>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</si>
  <si>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</si>
  <si>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</si>
  <si>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</si>
  <si>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</si>
  <si>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</si>
  <si>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</si>
  <si>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</si>
  <si>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</si>
  <si>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</si>
  <si>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</si>
  <si>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</si>
  <si>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</si>
  <si>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</si>
  <si>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</si>
  <si>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</si>
  <si>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</si>
  <si>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</si>
  <si>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</si>
  <si>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</si>
  <si>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</si>
  <si>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</si>
  <si>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</si>
  <si>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</si>
  <si>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</si>
  <si>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</si>
  <si>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</si>
  <si>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</si>
  <si>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</si>
  <si>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</si>
  <si>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</si>
  <si>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</si>
  <si>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</si>
  <si>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</si>
  <si>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</si>
  <si>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</si>
  <si>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</si>
  <si>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</si>
  <si>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</si>
  <si>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</si>
  <si>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</si>
  <si>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</si>
  <si>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</si>
  <si>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</si>
  <si>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</si>
  <si>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</si>
  <si>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</si>
  <si>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</si>
  <si>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</si>
  <si>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</si>
  <si>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</si>
  <si>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</si>
  <si>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</si>
  <si>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</si>
  <si>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</si>
  <si>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</si>
  <si>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</si>
  <si>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</si>
  <si>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</si>
  <si>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</si>
  <si>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</si>
  <si>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</si>
  <si>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</si>
  <si>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</si>
  <si>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</si>
  <si>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</si>
  <si>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</si>
  <si>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</si>
  <si>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</si>
  <si>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</si>
  <si>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</si>
  <si>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</si>
  <si>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</si>
  <si>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</si>
  <si>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</si>
  <si>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</si>
  <si>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</si>
  <si>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</si>
  <si>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</si>
  <si>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</si>
  <si>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</si>
  <si>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</si>
  <si>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</si>
  <si>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</si>
  <si>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</si>
  <si>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</si>
  <si>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</si>
  <si>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</si>
  <si>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</si>
  <si>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</si>
  <si>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</si>
  <si>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</si>
  <si>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</si>
  <si>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</si>
  <si>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</si>
  <si>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</si>
  <si>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</si>
  <si>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</si>
  <si>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</si>
  <si>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</si>
  <si>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</si>
  <si>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</si>
  <si>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</si>
  <si>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</si>
  <si>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</si>
  <si>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</si>
  <si>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</si>
  <si>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</si>
  <si>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</si>
  <si>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</si>
  <si>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</si>
  <si>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</si>
  <si>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</si>
  <si>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</si>
  <si>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</si>
  <si>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</si>
  <si>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</si>
  <si>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</si>
  <si>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</si>
  <si>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</si>
  <si>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</si>
  <si>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</si>
  <si>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</si>
  <si>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</si>
  <si>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</si>
  <si>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</si>
  <si>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</si>
  <si>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</si>
  <si>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</si>
  <si>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</si>
  <si>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</si>
  <si>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</si>
  <si>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</si>
  <si>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</si>
  <si>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</si>
  <si>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</si>
  <si>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</si>
  <si>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</si>
  <si>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</si>
  <si>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</si>
  <si>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</si>
  <si>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</si>
  <si>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</si>
  <si>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</si>
  <si>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</si>
  <si>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</si>
  <si>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</si>
  <si>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</si>
  <si>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</si>
  <si>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</si>
  <si>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</si>
  <si>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</si>
  <si>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</si>
  <si>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</si>
  <si>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</si>
  <si>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</si>
  <si>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</si>
  <si>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</si>
  <si>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</si>
  <si>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</si>
  <si>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</si>
  <si>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</si>
  <si>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</si>
  <si>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</si>
  <si>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</si>
  <si>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</si>
  <si>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</si>
  <si>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</si>
  <si>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</si>
  <si>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</si>
  <si>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</si>
  <si>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</si>
  <si>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</si>
  <si>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</si>
  <si>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</si>
  <si>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</si>
  <si>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</si>
  <si>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</si>
  <si>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</si>
  <si>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</si>
  <si>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</si>
  <si>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</si>
  <si>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</si>
  <si>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</si>
  <si>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</si>
  <si>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</si>
  <si>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</si>
  <si>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</si>
  <si>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</si>
  <si>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</si>
  <si>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</si>
  <si>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</si>
  <si>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</si>
  <si>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</si>
  <si>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</si>
  <si>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</si>
  <si>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</si>
  <si>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</si>
  <si>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</si>
  <si>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</si>
  <si>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</si>
  <si>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</si>
  <si>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</si>
  <si>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</si>
  <si>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</si>
  <si>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</si>
  <si>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</si>
  <si>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</si>
  <si>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</si>
  <si>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</si>
  <si>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</si>
  <si>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</si>
  <si>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</si>
  <si>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</si>
  <si>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</si>
  <si>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</si>
  <si>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</si>
  <si>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</si>
  <si>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</si>
  <si>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</si>
  <si>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</si>
  <si>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</si>
  <si>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</si>
  <si>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</si>
  <si>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</si>
  <si>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</si>
  <si>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</si>
  <si>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</si>
  <si>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</si>
  <si>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</si>
  <si>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</si>
  <si>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</si>
  <si>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</si>
  <si>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</si>
  <si>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</si>
  <si>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</si>
  <si>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</si>
  <si>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</si>
  <si>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</si>
  <si>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</si>
  <si>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</si>
  <si>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</si>
  <si>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</si>
  <si>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</si>
  <si>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</si>
  <si>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</si>
  <si>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</si>
  <si>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</si>
  <si>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</si>
  <si>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</si>
  <si>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</si>
  <si>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</si>
  <si>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</si>
  <si>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</si>
  <si>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</si>
  <si>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</si>
  <si>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</si>
  <si>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</si>
  <si>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</si>
  <si>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</si>
  <si>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</si>
  <si>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</si>
  <si>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</si>
  <si>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</si>
  <si>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</si>
  <si>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</si>
  <si>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</si>
  <si>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</si>
  <si>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</si>
  <si>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</si>
  <si>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</si>
  <si>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</si>
  <si>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</si>
  <si>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</si>
  <si>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</si>
  <si>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</si>
  <si>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</si>
  <si>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</si>
  <si>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</si>
  <si>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</si>
  <si>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</si>
  <si>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</si>
  <si>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</si>
  <si>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</si>
  <si>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</si>
  <si>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</si>
  <si>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</si>
  <si>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</si>
  <si>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</si>
  <si>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</si>
  <si>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</si>
  <si>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</si>
  <si>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</si>
  <si>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</si>
  <si>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</si>
  <si>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</si>
  <si>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</si>
  <si>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</si>
  <si>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</si>
  <si>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</si>
  <si>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</si>
  <si>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</si>
  <si>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</si>
  <si>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</si>
  <si>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</si>
  <si>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</si>
  <si>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</si>
  <si>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</si>
  <si>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</si>
  <si>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</si>
  <si>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</si>
  <si>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</si>
  <si>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</si>
  <si>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</si>
  <si>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</si>
  <si>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</si>
  <si>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</si>
  <si>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</si>
  <si>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</si>
  <si>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</si>
  <si>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</si>
  <si>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</si>
  <si>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</si>
  <si>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</si>
  <si>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</si>
  <si>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</si>
  <si>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</si>
  <si>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</si>
  <si>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</si>
  <si>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</si>
  <si>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</si>
  <si>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</si>
  <si>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</si>
  <si>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</si>
  <si>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</si>
  <si>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</si>
  <si>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</si>
  <si>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</si>
  <si>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</si>
  <si>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</si>
  <si>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</si>
  <si>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</si>
  <si>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</si>
  <si>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</si>
  <si>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</si>
  <si>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</si>
  <si>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</si>
  <si>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</si>
  <si>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</si>
  <si>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</si>
  <si>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</si>
  <si>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</si>
  <si>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</si>
  <si>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</si>
  <si>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</si>
  <si>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</si>
  <si>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</si>
  <si>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</si>
  <si>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</si>
  <si>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</si>
  <si>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</si>
  <si>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</si>
  <si>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</si>
  <si>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</si>
  <si>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</si>
  <si>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</si>
  <si>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</si>
  <si>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</si>
  <si>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</si>
  <si>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</si>
  <si>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</si>
  <si>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</si>
  <si>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</si>
  <si>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</si>
  <si>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</si>
  <si>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</si>
  <si>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</si>
  <si>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</si>
  <si>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</si>
  <si>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</si>
  <si>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</si>
  <si>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</si>
  <si>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</si>
  <si>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</si>
  <si>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</si>
  <si>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</si>
  <si>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</si>
  <si>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</si>
  <si>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</si>
  <si>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</si>
  <si>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</si>
  <si>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</si>
  <si>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</si>
  <si>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</si>
  <si>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</si>
  <si>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</si>
  <si>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</si>
  <si>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</si>
  <si>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</si>
  <si>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</si>
  <si>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</si>
  <si>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</si>
  <si>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</si>
  <si>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</si>
  <si>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</si>
  <si>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</si>
  <si>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</si>
  <si>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</si>
  <si>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</si>
  <si>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</si>
  <si>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</si>
  <si>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</si>
  <si>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</si>
  <si>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</si>
  <si>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</si>
  <si>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</si>
  <si>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</si>
  <si>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</si>
  <si>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</si>
  <si>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</si>
  <si>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</si>
  <si>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</si>
  <si>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</si>
  <si>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</si>
  <si>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</si>
  <si>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</si>
  <si>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</si>
  <si>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</si>
  <si>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</si>
  <si>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</si>
  <si>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</si>
  <si>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</si>
  <si>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</si>
  <si>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</si>
  <si>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</si>
  <si>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</si>
  <si>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</si>
  <si>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</si>
  <si>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</si>
  <si>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</si>
  <si>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</si>
  <si>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</si>
  <si>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</si>
  <si>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</si>
  <si>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</si>
  <si>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</si>
  <si>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</si>
  <si>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</si>
  <si>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</si>
  <si>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</si>
  <si>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</si>
  <si>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</si>
  <si>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</si>
  <si>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</si>
  <si>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</si>
  <si>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</si>
  <si>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</si>
  <si>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</si>
  <si>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</si>
  <si>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</si>
  <si>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</si>
  <si>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</si>
  <si>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</si>
  <si>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</si>
  <si>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</si>
  <si>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</si>
  <si>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</si>
  <si>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</si>
  <si>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</si>
  <si>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</si>
  <si>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</si>
  <si>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</si>
  <si>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</si>
  <si>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</si>
  <si>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</si>
  <si>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</si>
  <si>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</si>
  <si>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</si>
  <si>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</si>
  <si>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</si>
  <si>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</si>
  <si>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</si>
  <si>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</si>
  <si>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</si>
  <si>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</si>
  <si>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</si>
  <si>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</si>
  <si>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</si>
  <si>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</si>
  <si>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</si>
  <si>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</si>
  <si>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</si>
  <si>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</si>
  <si>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</si>
  <si>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</si>
  <si>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</si>
  <si>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</si>
  <si>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</si>
  <si>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</si>
  <si>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</si>
  <si>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</si>
  <si>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</si>
  <si>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</si>
  <si>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</si>
  <si>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</si>
  <si>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</si>
  <si>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</si>
  <si>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</si>
  <si>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</si>
  <si>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</si>
  <si>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</si>
  <si>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</si>
  <si>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</si>
  <si>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</si>
  <si>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</si>
  <si>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</si>
  <si>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</si>
  <si>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</si>
  <si>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</si>
  <si>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</si>
  <si>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</si>
  <si>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</si>
  <si>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</si>
  <si>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</si>
  <si>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</si>
  <si>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</si>
  <si>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</si>
  <si>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</si>
  <si>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</si>
  <si>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</si>
  <si>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</si>
  <si>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</si>
  <si>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</si>
  <si>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</si>
  <si>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</si>
  <si>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</si>
  <si>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</si>
  <si>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</si>
  <si>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</si>
  <si>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</si>
  <si>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</si>
  <si>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</si>
  <si>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</si>
  <si>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</si>
  <si>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</si>
  <si>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</si>
  <si>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</si>
  <si>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</si>
  <si>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</si>
  <si>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</si>
  <si>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</si>
  <si>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</si>
  <si>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</si>
  <si>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</si>
  <si>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</si>
  <si>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</si>
  <si>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</si>
  <si>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</si>
  <si>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</si>
  <si>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</si>
  <si>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</si>
  <si>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</si>
  <si>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</si>
  <si>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</si>
  <si>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</si>
  <si>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</si>
  <si>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</si>
  <si>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</si>
  <si>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</si>
  <si>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</si>
  <si>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</si>
  <si>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</si>
  <si>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</si>
  <si>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</si>
  <si>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</si>
  <si>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</si>
  <si>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</si>
  <si>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</si>
  <si>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</si>
  <si>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</si>
  <si>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</si>
  <si>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</si>
  <si>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</si>
  <si>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</si>
  <si>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</si>
  <si>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</si>
  <si>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</si>
  <si>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</si>
  <si>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</si>
  <si>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</si>
  <si>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</si>
  <si>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</si>
  <si>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</si>
  <si>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</si>
  <si>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</si>
  <si>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</si>
  <si>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</si>
  <si>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</si>
  <si>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</si>
  <si>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</si>
  <si>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</si>
  <si>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</si>
  <si>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</si>
  <si>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</si>
  <si>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</si>
  <si>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</si>
  <si>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</si>
  <si>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</si>
  <si>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</si>
  <si>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</si>
  <si>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</si>
  <si>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</si>
  <si>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</si>
  <si>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</si>
  <si>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</si>
  <si>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</si>
  <si>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</si>
  <si>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</si>
  <si>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</si>
  <si>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</si>
  <si>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</si>
  <si>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</si>
  <si>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</si>
  <si>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</si>
  <si>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</si>
  <si>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</si>
  <si>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</si>
  <si>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</si>
  <si>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</si>
  <si>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</si>
  <si>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</si>
  <si>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</si>
  <si>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</si>
  <si>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</si>
  <si>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</si>
  <si>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</si>
  <si>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</si>
  <si>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</si>
  <si>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</si>
  <si>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</si>
  <si>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</si>
  <si>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</si>
  <si>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</si>
  <si>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</si>
  <si>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</si>
  <si>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</si>
  <si>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</si>
  <si>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</si>
  <si>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</si>
  <si>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</si>
  <si>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</si>
  <si>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</si>
  <si>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</si>
  <si>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</si>
  <si>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</si>
  <si>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</si>
  <si>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</si>
  <si>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</si>
  <si>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</si>
  <si>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</si>
  <si>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</si>
  <si>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</si>
  <si>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</si>
  <si>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</si>
  <si>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</si>
  <si>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</si>
  <si>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</si>
  <si>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</si>
  <si>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</si>
  <si>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</si>
  <si>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</si>
  <si>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</si>
  <si>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</si>
  <si>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</si>
  <si>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</si>
  <si>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</si>
  <si>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</si>
  <si>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</si>
  <si>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</si>
  <si>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</si>
  <si>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</si>
  <si>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</si>
  <si>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</si>
  <si>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</si>
  <si>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</si>
  <si>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</si>
  <si>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</si>
  <si>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</si>
  <si>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</si>
  <si>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</si>
  <si>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</si>
  <si>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</si>
  <si>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</si>
  <si>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</si>
  <si>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</si>
  <si>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</si>
  <si>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</si>
  <si>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</si>
  <si>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</si>
  <si>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</si>
  <si>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</si>
  <si>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</si>
  <si>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</si>
  <si>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</si>
  <si>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</si>
  <si>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</si>
  <si>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</si>
  <si>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</si>
  <si>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</si>
  <si>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</si>
  <si>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</si>
  <si>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</si>
  <si>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</si>
  <si>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</si>
  <si>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</si>
  <si>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</si>
  <si>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</si>
  <si>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</si>
  <si>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</si>
  <si>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</si>
  <si>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</si>
  <si>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</si>
  <si>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</si>
  <si>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</si>
  <si>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</si>
  <si>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</si>
  <si>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</si>
  <si>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</si>
  <si>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</si>
  <si>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</si>
  <si>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</si>
  <si>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</si>
  <si>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</si>
  <si>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</si>
  <si>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</si>
  <si>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</si>
  <si>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</si>
  <si>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</si>
  <si>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</si>
  <si>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</si>
  <si>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</si>
  <si>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</si>
  <si>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</si>
  <si>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</si>
  <si>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</si>
  <si>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</si>
  <si>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</si>
  <si>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</si>
  <si>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</si>
  <si>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</si>
  <si>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</si>
  <si>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</si>
  <si>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</si>
  <si>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</si>
  <si>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</si>
  <si>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</si>
  <si>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</si>
  <si>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</si>
  <si>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</si>
  <si>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</si>
  <si>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</si>
  <si>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</si>
  <si>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</si>
  <si>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</si>
  <si>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</si>
  <si>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</si>
  <si>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</si>
  <si>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</si>
  <si>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</si>
  <si>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</si>
  <si>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</si>
  <si>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</si>
  <si>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</si>
  <si>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</si>
  <si>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</si>
  <si>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</si>
  <si>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</si>
  <si>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</si>
  <si>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</si>
  <si>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</si>
  <si>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</si>
  <si>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</si>
  <si>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</si>
  <si>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</si>
  <si>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</si>
  <si>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</si>
  <si>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</si>
  <si>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</si>
  <si>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</si>
  <si>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</si>
  <si>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</si>
  <si>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</si>
  <si>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</si>
  <si>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</si>
  <si>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</si>
  <si>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</si>
  <si>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</si>
  <si>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</si>
  <si>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</si>
  <si>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</si>
  <si>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</si>
  <si>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</si>
  <si>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</si>
  <si>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</si>
  <si>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</si>
  <si>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</si>
  <si>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</si>
  <si>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</si>
  <si>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</si>
  <si>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</si>
  <si>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</si>
  <si>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</si>
  <si>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</si>
  <si>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</si>
  <si>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</si>
  <si>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</si>
  <si>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</si>
  <si>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</si>
  <si>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</si>
  <si>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</si>
  <si>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</si>
  <si>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</si>
  <si>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</si>
  <si>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</si>
  <si>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</si>
  <si>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</si>
  <si>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</si>
  <si>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</si>
  <si>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</si>
  <si>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</si>
  <si>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</si>
  <si>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</si>
  <si>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</si>
  <si>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</si>
  <si>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</si>
  <si>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</si>
  <si>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</si>
  <si>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</si>
  <si>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</si>
  <si>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</si>
  <si>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</si>
  <si>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</si>
  <si>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</si>
  <si>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</si>
  <si>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</si>
  <si>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</si>
  <si>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</si>
  <si>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</si>
  <si>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</si>
  <si>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</si>
  <si>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</si>
  <si>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</si>
  <si>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</si>
  <si>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</si>
  <si>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</si>
  <si>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</si>
  <si>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</si>
  <si>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</si>
  <si>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</si>
  <si>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</si>
  <si>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</si>
  <si>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</si>
  <si>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</si>
  <si>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</si>
  <si>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</si>
  <si>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</si>
  <si>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</si>
  <si>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</si>
  <si>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</si>
  <si>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</si>
  <si>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</si>
  <si>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</si>
  <si>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</si>
  <si>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</si>
  <si>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</si>
  <si>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</si>
  <si>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</si>
  <si>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</si>
  <si>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</si>
  <si>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</si>
  <si>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</si>
  <si>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</si>
  <si>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</si>
  <si>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</si>
  <si>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</si>
  <si>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</si>
  <si>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</si>
  <si>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</si>
  <si>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</si>
  <si>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</si>
  <si>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</si>
  <si>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</si>
  <si>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</si>
  <si>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</si>
  <si>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</si>
  <si>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</si>
  <si>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</si>
  <si>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</si>
  <si>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</si>
  <si>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</si>
  <si>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</si>
  <si>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</si>
  <si>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</si>
  <si>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</si>
  <si>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</si>
  <si>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</si>
  <si>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</si>
  <si>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</si>
  <si>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</si>
  <si>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</si>
  <si>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</si>
  <si>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</si>
  <si>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</si>
  <si>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</si>
  <si>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</si>
  <si>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</si>
  <si>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</si>
  <si>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</si>
  <si>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</si>
  <si>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</si>
  <si>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</si>
  <si>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</si>
  <si>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</si>
  <si>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</si>
  <si>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</si>
  <si>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</si>
  <si>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</si>
  <si>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</si>
  <si>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</si>
  <si>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</si>
  <si>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</si>
  <si>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</si>
  <si>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</si>
  <si>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</si>
  <si>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</si>
  <si>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</si>
  <si>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</si>
  <si>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</si>
  <si>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</si>
  <si>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</si>
  <si>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</si>
  <si>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</si>
  <si>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</si>
  <si>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</si>
  <si>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</si>
  <si>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</si>
  <si>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</si>
  <si>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</si>
  <si>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</si>
  <si>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</si>
  <si>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</si>
  <si>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</si>
  <si>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</si>
  <si>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</si>
  <si>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</si>
  <si>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</si>
  <si>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</si>
  <si>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</si>
  <si>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</si>
  <si>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</si>
  <si>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</si>
  <si>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</si>
  <si>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</si>
  <si>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</si>
  <si>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</si>
  <si>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</si>
  <si>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</si>
  <si>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</si>
  <si>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</si>
  <si>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</si>
  <si>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</si>
  <si>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</si>
  <si>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</si>
  <si>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</si>
  <si>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</si>
  <si>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</si>
  <si>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</si>
  <si>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</si>
  <si>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</si>
  <si>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</si>
  <si>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</si>
  <si>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</si>
  <si>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</si>
  <si>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</si>
  <si>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</si>
  <si>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</si>
  <si>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</si>
  <si>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</si>
  <si>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</si>
  <si>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</si>
  <si>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</si>
  <si>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</si>
  <si>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</si>
  <si>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</si>
  <si>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</si>
  <si>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</si>
  <si>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</si>
  <si>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</si>
  <si>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</si>
  <si>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</si>
  <si>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</si>
  <si>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</si>
  <si>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</si>
  <si>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</si>
  <si>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</si>
  <si>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</si>
  <si>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</si>
  <si>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</si>
  <si>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</si>
  <si>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</si>
  <si>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</si>
  <si>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</si>
  <si>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</si>
  <si>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</si>
  <si>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</si>
  <si>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</si>
  <si>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</si>
  <si>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</si>
  <si>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</si>
  <si>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</si>
  <si>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</si>
  <si>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</si>
  <si>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</si>
  <si>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</si>
  <si>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</si>
  <si>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</si>
  <si>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</si>
  <si>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</si>
  <si>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</si>
  <si>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</si>
  <si>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</si>
  <si>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</si>
  <si>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</si>
  <si>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</si>
  <si>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</si>
  <si>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</si>
  <si>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</si>
  <si>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</si>
  <si>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</si>
  <si>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</si>
  <si>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</si>
  <si>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</si>
  <si>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</si>
  <si>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</si>
  <si>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</si>
  <si>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</si>
  <si>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</si>
  <si>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</si>
  <si>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</si>
  <si>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</si>
  <si>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</si>
  <si>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</si>
  <si>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</si>
  <si>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</si>
  <si>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</si>
  <si>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</si>
  <si>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</si>
  <si>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</si>
  <si>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</si>
  <si>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</si>
  <si>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</si>
  <si>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</si>
  <si>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</si>
  <si>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</si>
  <si>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</si>
  <si>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</si>
  <si>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</si>
  <si>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</si>
  <si>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</si>
  <si>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</si>
  <si>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</si>
  <si>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</si>
  <si>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</si>
  <si>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</si>
  <si>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</si>
  <si>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</si>
  <si>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</si>
  <si>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</si>
  <si>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</si>
  <si>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</si>
  <si>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</si>
  <si>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</si>
  <si>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</si>
  <si>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</si>
  <si>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</si>
  <si>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</si>
  <si>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</si>
  <si>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</si>
  <si>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</si>
  <si>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</si>
  <si>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</si>
  <si>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</si>
  <si>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</si>
  <si>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</si>
  <si>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</si>
  <si>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</si>
  <si>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</si>
  <si>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</si>
  <si>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</si>
  <si>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</si>
  <si>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</si>
  <si>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</si>
  <si>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</si>
  <si>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</si>
  <si>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</si>
  <si>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</si>
  <si>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</si>
  <si>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</si>
  <si>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</si>
  <si>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</si>
  <si>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</si>
  <si>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</si>
  <si>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</si>
  <si>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</si>
  <si>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</si>
  <si>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</si>
  <si>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</si>
  <si>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</si>
  <si>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</si>
  <si>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</si>
  <si>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</si>
  <si>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</si>
  <si>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</si>
  <si>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</si>
  <si>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</si>
  <si>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</si>
  <si>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</si>
  <si>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</si>
  <si>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</si>
  <si>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</si>
  <si>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</si>
  <si>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</si>
  <si>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</si>
  <si>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</si>
  <si>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</si>
  <si>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</si>
  <si>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</si>
  <si>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</si>
  <si>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</si>
  <si>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</si>
  <si>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</si>
  <si>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</si>
  <si>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</si>
  <si>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</si>
  <si>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</si>
  <si>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</si>
  <si>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</si>
  <si>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</si>
  <si>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</si>
  <si>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</si>
  <si>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</si>
  <si>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</si>
  <si>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</si>
  <si>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</si>
  <si>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</si>
  <si>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</si>
  <si>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</si>
  <si>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</si>
  <si>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</si>
  <si>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</si>
  <si>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</si>
  <si>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</si>
  <si>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</si>
  <si>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</si>
  <si>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</si>
  <si>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</si>
  <si>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</si>
  <si>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</si>
  <si>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</si>
  <si>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</si>
  <si>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</si>
  <si>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</si>
  <si>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</si>
  <si>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</si>
  <si>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</si>
  <si>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</si>
  <si>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</si>
  <si>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</si>
  <si>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</si>
  <si>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</si>
  <si>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</si>
  <si>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</si>
  <si>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</si>
  <si>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</si>
  <si>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</si>
  <si>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</si>
  <si>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</si>
  <si>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</si>
  <si>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</si>
  <si>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</si>
  <si>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</si>
  <si>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</si>
  <si>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</si>
  <si>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</si>
  <si>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</si>
  <si>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</si>
  <si>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</si>
  <si>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</si>
  <si>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</si>
  <si>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</si>
  <si>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</si>
  <si>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</si>
  <si>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</si>
  <si>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</si>
  <si>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</si>
  <si>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</si>
  <si>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</si>
  <si>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</si>
  <si>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</si>
  <si>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</si>
  <si>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</si>
  <si>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</si>
  <si>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</si>
  <si>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</si>
  <si>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</si>
  <si>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</si>
  <si>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</si>
  <si>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</si>
  <si>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</si>
  <si>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</si>
  <si>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</si>
  <si>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</si>
  <si>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</si>
  <si>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</si>
  <si>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</si>
  <si>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</si>
  <si>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</si>
  <si>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</si>
  <si>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</si>
  <si>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</si>
  <si>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</si>
  <si>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</si>
  <si>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</si>
  <si>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</si>
  <si>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</si>
  <si>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</si>
  <si>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</si>
  <si>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</si>
  <si>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</si>
  <si>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</si>
  <si>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</si>
  <si>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</si>
  <si>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</si>
  <si>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</si>
  <si>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</si>
  <si>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</si>
  <si>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</si>
  <si>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</si>
  <si>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</si>
  <si>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</si>
  <si>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</si>
  <si>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</si>
  <si>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</si>
  <si>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</si>
  <si>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</si>
  <si>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</si>
  <si>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</si>
  <si>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</si>
  <si>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</si>
  <si>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</si>
  <si>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</si>
  <si>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</si>
  <si>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</si>
  <si>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</si>
  <si>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</si>
  <si>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</si>
  <si>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</si>
  <si>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</si>
  <si>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</si>
  <si>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</si>
  <si>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</si>
  <si>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</si>
  <si>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</si>
  <si>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</si>
  <si>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</si>
  <si>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</si>
  <si>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</si>
  <si>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</si>
  <si>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</si>
  <si>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</si>
  <si>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</si>
  <si>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</si>
  <si>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</si>
  <si>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</si>
  <si>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</si>
  <si>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</si>
  <si>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</si>
  <si>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</si>
  <si>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</si>
  <si>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</si>
  <si>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</si>
  <si>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</si>
  <si>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</si>
  <si>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</si>
  <si>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</si>
  <si>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</si>
  <si>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</si>
  <si>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</si>
  <si>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</si>
  <si>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</si>
  <si>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</si>
  <si>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</si>
  <si>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</si>
  <si>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</si>
  <si>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</si>
  <si>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</si>
  <si>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</si>
  <si>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</si>
  <si>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</si>
  <si>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</si>
  <si>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</si>
  <si>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</si>
  <si>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</si>
  <si>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</si>
  <si>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</si>
  <si>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</si>
  <si>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</si>
  <si>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</si>
  <si>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</si>
  <si>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</si>
  <si>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</si>
  <si>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</si>
  <si>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</si>
  <si>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</si>
  <si>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</si>
  <si>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</si>
  <si>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</si>
  <si>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</si>
  <si>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</si>
  <si>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</si>
  <si>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</si>
  <si>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</si>
  <si>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</si>
  <si>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</si>
  <si>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</si>
  <si>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</si>
  <si>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</si>
  <si>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</si>
  <si>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</si>
  <si>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</si>
  <si>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</si>
  <si>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</si>
  <si>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</si>
  <si>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</si>
  <si>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</si>
  <si>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</si>
  <si>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</si>
  <si>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</si>
  <si>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</si>
  <si>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</si>
  <si>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</si>
  <si>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</si>
  <si>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</si>
  <si>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</si>
  <si>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</si>
  <si>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</si>
  <si>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</si>
  <si>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</si>
  <si>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</si>
  <si>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</si>
  <si>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</si>
  <si>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</si>
  <si>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</si>
  <si>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</si>
  <si>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</si>
  <si>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</si>
  <si>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</si>
  <si>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</si>
  <si>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</si>
  <si>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</si>
  <si>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</si>
  <si>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</si>
  <si>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</si>
  <si>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</si>
  <si>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</si>
  <si>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</si>
  <si>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</si>
  <si>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</si>
  <si>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</si>
  <si>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</si>
  <si>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</si>
  <si>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</si>
  <si>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</si>
  <si>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</si>
  <si>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</si>
  <si>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</si>
  <si>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</si>
  <si>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</si>
  <si>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</si>
  <si>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</si>
  <si>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</si>
  <si>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</si>
  <si>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</si>
  <si>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</si>
  <si>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</si>
  <si>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</si>
  <si>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</si>
  <si>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</si>
  <si>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</si>
  <si>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</si>
  <si>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</si>
  <si>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</si>
  <si>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</si>
  <si>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</si>
  <si>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</si>
  <si>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</si>
  <si>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</si>
  <si>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</si>
  <si>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</si>
  <si>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</si>
  <si>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</si>
  <si>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</si>
  <si>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</si>
  <si>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</si>
  <si>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</si>
  <si>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</si>
  <si>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</si>
  <si>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</si>
  <si>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</si>
  <si>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</si>
  <si>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</si>
  <si>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</si>
  <si>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</si>
  <si>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</si>
  <si>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</si>
  <si>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</si>
  <si>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</si>
  <si>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</si>
  <si>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</si>
  <si>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</si>
  <si>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</si>
  <si>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</si>
  <si>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</si>
  <si>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</si>
  <si>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</si>
  <si>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</si>
  <si>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</si>
  <si>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</si>
  <si>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</si>
  <si>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</si>
  <si>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</si>
  <si>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</si>
  <si>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</si>
  <si>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</si>
  <si>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</si>
  <si>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</si>
  <si>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</si>
  <si>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</si>
  <si>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</si>
  <si>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</si>
  <si>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</si>
  <si>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</si>
  <si>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</si>
  <si>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</si>
  <si>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</si>
  <si>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</si>
  <si>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</si>
  <si>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</si>
  <si>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</si>
  <si>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</si>
  <si>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</si>
  <si>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</si>
  <si>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</si>
  <si>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</si>
  <si>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</si>
  <si>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</si>
  <si>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</si>
  <si>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</si>
  <si>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</si>
  <si>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</si>
  <si>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</si>
  <si>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</si>
  <si>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</si>
  <si>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</si>
  <si>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</si>
  <si>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</si>
  <si>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</si>
  <si>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</si>
  <si>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</si>
  <si>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</si>
  <si>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</si>
  <si>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</si>
  <si>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</si>
  <si>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</si>
  <si>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</si>
  <si>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</si>
  <si>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</si>
  <si>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</si>
  <si>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</si>
  <si>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</si>
  <si>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</si>
  <si>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</si>
  <si>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</si>
  <si>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</si>
  <si>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</si>
  <si>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</si>
  <si>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</si>
  <si>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</si>
  <si>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</si>
  <si>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</si>
  <si>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</si>
  <si>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</si>
  <si>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</si>
  <si>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</si>
  <si>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</si>
  <si>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</si>
  <si>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</si>
  <si>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</si>
  <si>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</si>
  <si>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</si>
  <si>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</si>
  <si>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</si>
  <si>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</si>
  <si>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</si>
  <si>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</si>
  <si>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</si>
  <si>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</si>
  <si>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</si>
  <si>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</si>
  <si>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</si>
  <si>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</si>
  <si>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</si>
  <si>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</si>
  <si>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</si>
  <si>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</si>
  <si>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</si>
  <si>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</si>
  <si>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</si>
  <si>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</si>
  <si>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</si>
  <si>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</si>
  <si>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</si>
  <si>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</si>
  <si>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</si>
  <si>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</si>
  <si>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</si>
  <si>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</si>
  <si>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</si>
  <si>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</si>
  <si>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</si>
  <si>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</si>
  <si>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</si>
  <si>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</si>
  <si>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</si>
  <si>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</si>
  <si>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</si>
  <si>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</si>
  <si>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</si>
  <si>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</si>
  <si>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</si>
  <si>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</si>
  <si>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</si>
  <si>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</si>
  <si>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</si>
  <si>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</si>
  <si>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</si>
  <si>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</si>
  <si>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</si>
  <si>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</si>
  <si>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</si>
  <si>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</si>
  <si>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</si>
  <si>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</si>
  <si>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</si>
  <si>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</si>
  <si>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</si>
  <si>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</si>
  <si>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</si>
  <si>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</si>
  <si>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</si>
  <si>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</si>
  <si>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</si>
  <si>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</si>
  <si>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</si>
  <si>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</si>
  <si>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</si>
  <si>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</si>
  <si>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</si>
  <si>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</si>
  <si>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</si>
  <si>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</si>
  <si>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</si>
  <si>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</si>
  <si>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</si>
  <si>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</si>
  <si>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</si>
  <si>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</si>
  <si>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</si>
  <si>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</si>
  <si>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</si>
  <si>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</si>
  <si>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</si>
  <si>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</si>
  <si>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</si>
  <si>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</si>
  <si>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</si>
  <si>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</si>
  <si>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</si>
  <si>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</si>
  <si>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</si>
  <si>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</si>
  <si>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</si>
  <si>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</si>
  <si>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</si>
  <si>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</si>
  <si>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</si>
  <si>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</si>
  <si>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</si>
  <si>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</si>
  <si>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</si>
  <si>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</si>
  <si>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</si>
  <si>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</si>
  <si>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</si>
  <si>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</si>
  <si>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</si>
  <si>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</si>
  <si>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</si>
  <si>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</si>
  <si>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</si>
  <si>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</si>
  <si>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</si>
  <si>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</si>
  <si>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</si>
  <si>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</si>
  <si>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</si>
  <si>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</si>
  <si>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</si>
  <si>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</si>
  <si>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</si>
  <si>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</si>
  <si>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</si>
  <si>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</si>
  <si>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</si>
  <si>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</si>
  <si>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</si>
  <si>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</si>
  <si>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</si>
  <si>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</si>
  <si>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</si>
  <si>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</si>
  <si>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</si>
  <si>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</si>
  <si>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</si>
  <si>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</si>
  <si>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</si>
  <si>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</si>
  <si>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</si>
  <si>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</si>
  <si>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</si>
  <si>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</si>
  <si>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</si>
  <si>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</si>
  <si>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</si>
  <si>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</si>
  <si>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</si>
  <si>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</si>
  <si>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</si>
  <si>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</si>
  <si>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</si>
  <si>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</si>
  <si>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</si>
  <si>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</si>
  <si>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</si>
  <si>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</si>
  <si>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</si>
  <si>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</si>
  <si>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</si>
  <si>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</si>
  <si>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</si>
  <si>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</si>
  <si>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</si>
  <si>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</si>
  <si>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</si>
  <si>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</si>
  <si>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</si>
  <si>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</si>
  <si>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</si>
  <si>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</si>
  <si>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</si>
  <si>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</si>
  <si>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</si>
  <si>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</si>
  <si>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</si>
  <si>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</si>
  <si>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</si>
  <si>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</si>
  <si>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</si>
  <si>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</si>
  <si>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</si>
  <si>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</si>
  <si>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</si>
  <si>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</si>
  <si>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</si>
  <si>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</si>
  <si>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</si>
  <si>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</si>
  <si>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</si>
  <si>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</si>
  <si>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</si>
  <si>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</si>
  <si>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</si>
  <si>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</si>
  <si>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</si>
  <si>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</si>
  <si>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</si>
  <si>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</si>
  <si>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</si>
  <si>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</si>
  <si>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</si>
  <si>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</si>
  <si>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</si>
  <si>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</si>
  <si>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</si>
  <si>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</si>
  <si>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</si>
  <si>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</si>
  <si>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</si>
  <si>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</si>
  <si>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</si>
  <si>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</si>
  <si>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</si>
  <si>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</si>
  <si>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</si>
  <si>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</si>
  <si>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</si>
  <si>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</si>
  <si>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</si>
  <si>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</si>
  <si>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</si>
  <si>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</si>
  <si>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</si>
  <si>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</si>
  <si>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</si>
  <si>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</si>
  <si>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</si>
  <si>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</si>
  <si>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</si>
  <si>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</si>
  <si>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</si>
  <si>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</si>
  <si>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</si>
  <si>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</si>
  <si>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</si>
  <si>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</si>
  <si>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</si>
  <si>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</si>
  <si>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</si>
  <si>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</si>
  <si>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</si>
  <si>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</si>
  <si>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</si>
  <si>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</si>
  <si>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</si>
  <si>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</si>
  <si>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</si>
  <si>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</si>
  <si>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</si>
  <si>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</si>
  <si>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</si>
  <si>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</si>
  <si>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</si>
  <si>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</si>
  <si>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</si>
  <si>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</si>
  <si>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</si>
  <si>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</si>
  <si>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</si>
  <si>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</si>
  <si>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</si>
  <si>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</si>
  <si>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</si>
  <si>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</si>
  <si>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</si>
  <si>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</si>
  <si>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</si>
  <si>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</si>
  <si>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</si>
  <si>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</si>
  <si>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</si>
  <si>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</si>
  <si>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</si>
  <si>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</si>
  <si>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</si>
  <si>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</si>
  <si>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</si>
  <si>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</si>
  <si>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</si>
  <si>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</si>
  <si>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</si>
  <si>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</si>
  <si>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</si>
  <si>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</si>
  <si>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</si>
  <si>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</si>
  <si>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</si>
  <si>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</si>
  <si>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</si>
  <si>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</si>
  <si>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</si>
  <si>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</si>
  <si>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</si>
  <si>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</si>
  <si>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</si>
  <si>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</si>
  <si>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</si>
  <si>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</si>
  <si>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</si>
  <si>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</si>
  <si>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</si>
  <si>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</si>
  <si>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</si>
  <si>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</si>
  <si>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</si>
  <si>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</si>
  <si>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</si>
  <si>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</si>
  <si>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</si>
  <si>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</si>
  <si>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</si>
  <si>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</si>
  <si>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</si>
  <si>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</si>
  <si>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</si>
  <si>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</si>
  <si>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</si>
  <si>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</si>
  <si>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</si>
  <si>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</si>
  <si>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</si>
  <si>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</si>
  <si>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</si>
  <si>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</si>
  <si>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</si>
  <si>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</si>
  <si>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</si>
  <si>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</si>
  <si>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</si>
  <si>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</si>
  <si>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</si>
  <si>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</si>
  <si>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</si>
  <si>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</si>
  <si>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</si>
  <si>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</si>
  <si>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</si>
  <si>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</si>
  <si>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</si>
  <si>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</si>
  <si>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</si>
  <si>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</si>
  <si>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</si>
  <si>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</si>
  <si>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</si>
  <si>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</si>
  <si>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</si>
  <si>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</si>
  <si>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</si>
  <si>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</si>
  <si>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</si>
  <si>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</si>
  <si>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</si>
  <si>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</si>
  <si>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</si>
  <si>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</si>
  <si>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</si>
  <si>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</si>
  <si>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</si>
  <si>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</si>
  <si>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</si>
  <si>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</si>
  <si>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</si>
  <si>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</si>
  <si>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</si>
  <si>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</si>
  <si>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</si>
  <si>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</si>
  <si>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</si>
  <si>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</si>
  <si>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</si>
  <si>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</si>
  <si>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</si>
  <si>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</si>
  <si>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</si>
  <si>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</si>
  <si>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</si>
  <si>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</si>
  <si>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</si>
  <si>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</si>
  <si>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</si>
  <si>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</si>
  <si>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</si>
  <si>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</si>
  <si>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</si>
  <si>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</si>
  <si>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</si>
  <si>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</si>
  <si>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</si>
  <si>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</si>
  <si>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</si>
  <si>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</si>
  <si>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</si>
  <si>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</si>
  <si>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</si>
  <si>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</si>
  <si>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</si>
  <si>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</si>
  <si>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</si>
  <si>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</si>
  <si>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</si>
  <si>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</si>
  <si>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</si>
  <si>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</si>
  <si>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</si>
  <si>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</si>
  <si>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</si>
  <si>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</si>
  <si>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</si>
  <si>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</si>
  <si>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</si>
  <si>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</si>
  <si>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</si>
  <si>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</si>
  <si>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</si>
  <si>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</si>
  <si>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</si>
  <si>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</si>
  <si>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</si>
  <si>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</si>
  <si>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</si>
  <si>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</si>
  <si>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</si>
  <si>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</si>
  <si>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</si>
  <si>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</si>
  <si>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</si>
  <si>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</si>
  <si>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</si>
  <si>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</si>
  <si>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</si>
  <si>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</si>
  <si>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</si>
  <si>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</si>
  <si>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</si>
  <si>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</si>
  <si>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</si>
  <si>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</si>
  <si>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</si>
  <si>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</si>
  <si>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</si>
  <si>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</si>
  <si>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</si>
  <si>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</si>
  <si>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</si>
  <si>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</si>
  <si>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</si>
  <si>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</si>
  <si>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</si>
  <si>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</si>
  <si>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</si>
  <si>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</si>
  <si>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</si>
  <si>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</si>
  <si>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</si>
  <si>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</si>
  <si>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</si>
  <si>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</si>
  <si>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</si>
  <si>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</si>
  <si>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</si>
  <si>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</si>
  <si>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</si>
  <si>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</si>
  <si>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</si>
  <si>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</si>
  <si>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</si>
  <si>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</si>
  <si>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</si>
  <si>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</si>
  <si>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</si>
  <si>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</si>
  <si>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</si>
  <si>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</si>
  <si>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</si>
  <si>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</si>
  <si>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</si>
  <si>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</si>
  <si>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</si>
  <si>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</si>
  <si>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</si>
  <si>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</si>
  <si>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</si>
  <si>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</si>
  <si>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</si>
  <si>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</si>
  <si>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</si>
  <si>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</si>
  <si>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</si>
  <si>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</si>
  <si>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</si>
  <si>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</si>
  <si>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</si>
  <si>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</si>
  <si>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</si>
  <si>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</si>
  <si>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</si>
  <si>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</si>
  <si>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</si>
  <si>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</si>
  <si>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</si>
  <si>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</si>
  <si>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</si>
  <si>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</si>
  <si>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</si>
  <si>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</si>
  <si>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</si>
  <si>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</si>
  <si>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</si>
  <si>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</si>
  <si>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</si>
  <si>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</si>
  <si>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</si>
  <si>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</si>
  <si>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</si>
  <si>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</si>
  <si>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</si>
  <si>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</si>
  <si>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</si>
  <si>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</si>
  <si>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</si>
  <si>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</si>
  <si>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</si>
  <si>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</si>
  <si>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</si>
  <si>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</si>
  <si>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</si>
  <si>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</si>
  <si>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</si>
  <si>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</si>
  <si>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</si>
  <si>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</si>
  <si>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</si>
  <si>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</si>
  <si>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</si>
  <si>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</si>
  <si>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</si>
  <si>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</si>
  <si>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</si>
  <si>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</si>
  <si>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</si>
  <si>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</si>
  <si>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</si>
  <si>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</si>
  <si>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</si>
  <si>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</si>
  <si>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</si>
  <si>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</si>
  <si>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</si>
  <si>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</si>
  <si>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</si>
  <si>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</si>
  <si>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</si>
  <si>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</si>
  <si>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</si>
  <si>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</si>
  <si>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</si>
  <si>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</si>
  <si>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</si>
  <si>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</si>
  <si>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</si>
  <si>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</si>
  <si>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</si>
  <si>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</si>
  <si>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</si>
  <si>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</si>
  <si>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</si>
  <si>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</si>
  <si>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</si>
  <si>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</si>
  <si>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</si>
  <si>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</si>
  <si>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</si>
  <si>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</si>
  <si>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</si>
  <si>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</si>
  <si>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</si>
  <si>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</si>
  <si>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</si>
  <si>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</si>
  <si>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</si>
  <si>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</si>
  <si>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</si>
  <si>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</si>
  <si>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</si>
  <si>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</si>
  <si>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</si>
  <si>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</si>
  <si>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</si>
  <si>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</si>
  <si>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</si>
  <si>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</si>
  <si>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</si>
  <si>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</si>
  <si>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</si>
  <si>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</si>
  <si>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</si>
  <si>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</si>
  <si>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</si>
  <si>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</si>
  <si>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</si>
  <si>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</si>
  <si>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</si>
  <si>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</si>
  <si>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</si>
  <si>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</si>
  <si>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</si>
  <si>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</si>
  <si>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</si>
  <si>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</si>
  <si>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</si>
  <si>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</si>
  <si>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</si>
  <si>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</si>
  <si>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</si>
  <si>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</si>
  <si>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</si>
  <si>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</si>
  <si>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</si>
  <si>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</si>
  <si>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</si>
  <si>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</si>
  <si>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</si>
  <si>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</si>
  <si>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</si>
  <si>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</si>
  <si>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</si>
  <si>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</si>
  <si>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</si>
  <si>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</si>
  <si>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</si>
  <si>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</si>
  <si>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</si>
  <si>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</si>
  <si>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</si>
  <si>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</si>
  <si>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</si>
  <si>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</si>
  <si>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</si>
  <si>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</si>
  <si>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</si>
  <si>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</si>
  <si>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</si>
  <si>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</si>
  <si>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</si>
  <si>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</si>
  <si>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</si>
  <si>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</si>
  <si>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</si>
  <si>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</si>
  <si>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</si>
  <si>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</si>
  <si>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</si>
  <si>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</si>
  <si>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</si>
  <si>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</si>
  <si>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</si>
  <si>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</si>
  <si>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</si>
  <si>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</si>
  <si>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</si>
  <si>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</si>
  <si>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</si>
  <si>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</si>
  <si>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</si>
  <si>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</si>
  <si>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</si>
  <si>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</si>
  <si>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</si>
  <si>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</si>
  <si>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</si>
  <si>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</si>
  <si>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</si>
  <si>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</si>
  <si>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</si>
  <si>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</si>
  <si>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</si>
  <si>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</si>
  <si>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</si>
  <si>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</si>
  <si>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</si>
  <si>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</si>
  <si>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</si>
  <si>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</si>
  <si>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</si>
  <si>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</si>
  <si>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</si>
  <si>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</si>
  <si>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</si>
  <si>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</si>
  <si>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</si>
  <si>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</si>
  <si>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</si>
  <si>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</si>
  <si>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</si>
  <si>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</si>
  <si>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</si>
  <si>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</si>
  <si>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</si>
  <si>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</si>
  <si>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</si>
  <si>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</si>
  <si>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</si>
  <si>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</si>
  <si>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</si>
  <si>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</si>
  <si>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</si>
  <si>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</si>
  <si>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</si>
  <si>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</si>
  <si>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</si>
  <si>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</si>
  <si>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</si>
  <si>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</si>
  <si>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</si>
  <si>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</si>
  <si>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</si>
  <si>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</si>
  <si>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</si>
  <si>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</si>
  <si>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</si>
  <si>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</si>
  <si>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</si>
  <si>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</si>
  <si>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</si>
  <si>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</si>
  <si>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</si>
  <si>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</si>
  <si>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</si>
  <si>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</si>
  <si>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</si>
  <si>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</si>
  <si>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</si>
  <si>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</si>
  <si>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</si>
  <si>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</si>
  <si>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</si>
  <si>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</si>
  <si>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</si>
  <si>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</si>
  <si>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</si>
  <si>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</si>
  <si>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</si>
  <si>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</si>
  <si>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</si>
  <si>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</si>
  <si>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</si>
  <si>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</si>
  <si>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</si>
  <si>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</si>
  <si>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</si>
  <si>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</si>
  <si>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</si>
  <si>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</si>
  <si>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</si>
  <si>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</si>
  <si>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</si>
  <si>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</si>
  <si>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</si>
  <si>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</si>
  <si>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</si>
  <si>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</si>
  <si>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</si>
  <si>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</si>
  <si>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</si>
  <si>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</si>
  <si>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</si>
  <si>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</si>
  <si>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</si>
  <si>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</si>
  <si>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</si>
  <si>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</si>
  <si>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</si>
  <si>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</si>
  <si>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</si>
  <si>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</si>
  <si>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</si>
  <si>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</si>
  <si>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</si>
  <si>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</si>
  <si>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</si>
  <si>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</si>
  <si>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</si>
  <si>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</si>
  <si>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</si>
  <si>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</si>
  <si>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</si>
  <si>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</si>
  <si>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</si>
  <si>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</si>
  <si>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</si>
  <si>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</si>
  <si>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</si>
  <si>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</si>
  <si>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</si>
  <si>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</si>
  <si>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</si>
  <si>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</si>
  <si>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</si>
  <si>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</si>
  <si>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</si>
  <si>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</si>
  <si>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</si>
  <si>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</si>
  <si>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</si>
  <si>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</si>
  <si>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</si>
  <si>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</si>
  <si>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</si>
  <si>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</si>
  <si>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</si>
  <si>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</si>
  <si>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</si>
  <si>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</si>
  <si>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</si>
  <si>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</si>
  <si>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</si>
  <si>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</si>
  <si>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</si>
  <si>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</si>
  <si>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</si>
  <si>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</si>
  <si>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</si>
  <si>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</si>
  <si>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</si>
  <si>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</si>
  <si>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</si>
  <si>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</si>
  <si>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</si>
  <si>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</si>
  <si>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</si>
  <si>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</si>
  <si>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</si>
  <si>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</si>
  <si>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</si>
  <si>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</si>
  <si>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</si>
  <si>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</si>
  <si>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</si>
  <si>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</si>
  <si>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</si>
  <si>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</si>
  <si>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</si>
  <si>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</si>
  <si>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</si>
  <si>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</si>
  <si>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</si>
  <si>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</si>
  <si>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</si>
  <si>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</si>
  <si>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</si>
  <si>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</si>
  <si>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</si>
  <si>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</si>
  <si>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</si>
  <si>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</si>
  <si>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</si>
  <si>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</si>
  <si>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</si>
  <si>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</si>
  <si>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</si>
  <si>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</si>
  <si>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</si>
  <si>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</si>
  <si>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</si>
  <si>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</si>
  <si>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</si>
  <si>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</si>
  <si>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</si>
  <si>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</si>
  <si>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</si>
  <si>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</si>
  <si>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</si>
  <si>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</si>
  <si>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</si>
  <si>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</si>
  <si>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</si>
  <si>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</si>
  <si>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</si>
  <si>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</si>
  <si>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</si>
  <si>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</si>
  <si>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</si>
  <si>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</si>
  <si>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</si>
  <si>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</si>
  <si>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</si>
  <si>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</si>
  <si>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</si>
  <si>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</si>
  <si>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</si>
  <si>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</si>
  <si>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</si>
  <si>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</si>
  <si>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</si>
  <si>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</si>
  <si>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</si>
  <si>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</si>
  <si>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</si>
  <si>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</si>
  <si>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</si>
  <si>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</si>
  <si>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</si>
  <si>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</si>
  <si>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</si>
  <si>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</si>
  <si>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</si>
  <si>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</si>
  <si>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</si>
  <si>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</si>
  <si>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</si>
  <si>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</si>
  <si>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</si>
  <si>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</si>
  <si>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</si>
  <si>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</si>
  <si>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</si>
  <si>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</si>
  <si>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</si>
  <si>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</si>
  <si>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</si>
  <si>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</si>
  <si>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</si>
  <si>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</si>
  <si>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</si>
  <si>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</si>
  <si>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</si>
  <si>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</si>
  <si>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</si>
  <si>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</si>
  <si>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</si>
  <si>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</si>
  <si>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</si>
  <si>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</si>
  <si>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</si>
  <si>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</si>
  <si>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</si>
  <si>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</si>
  <si>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</si>
  <si>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</si>
  <si>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</si>
  <si>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</si>
  <si>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</si>
  <si>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</si>
  <si>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</si>
  <si>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</si>
  <si>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</si>
  <si>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</si>
  <si>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</si>
  <si>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</si>
  <si>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</si>
  <si>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</si>
  <si>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</si>
  <si>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</si>
  <si>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</si>
  <si>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</si>
  <si>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</si>
  <si>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</si>
  <si>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</si>
  <si>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</si>
  <si>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</si>
  <si>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</si>
  <si>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</si>
  <si>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</si>
  <si>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</si>
  <si>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</si>
  <si>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</si>
  <si>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</si>
  <si>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</si>
  <si>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</si>
  <si>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</si>
  <si>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</si>
  <si>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</si>
  <si>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</si>
  <si>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</si>
  <si>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</si>
  <si>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</si>
  <si>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</si>
  <si>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</si>
  <si>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</si>
  <si>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</si>
  <si>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</si>
  <si>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</si>
  <si>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</si>
  <si>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</si>
  <si>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</si>
  <si>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</si>
  <si>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</si>
  <si>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</si>
  <si>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</si>
  <si>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</si>
  <si>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</si>
  <si>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</si>
  <si>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</si>
  <si>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</si>
  <si>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</si>
  <si>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</si>
  <si>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</si>
  <si>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</si>
  <si>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</si>
  <si>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</si>
  <si>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</si>
  <si>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</si>
  <si>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</si>
  <si>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</si>
  <si>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</si>
  <si>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</si>
  <si>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</si>
  <si>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</si>
  <si>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</si>
  <si>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</si>
  <si>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</si>
  <si>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</si>
  <si>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</si>
  <si>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</si>
  <si>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</si>
  <si>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</si>
  <si>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</si>
  <si>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</si>
  <si>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</si>
  <si>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</si>
  <si>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</si>
  <si>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</si>
  <si>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</si>
  <si>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</si>
  <si>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</si>
  <si>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</si>
  <si>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</si>
  <si>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</si>
  <si>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</si>
  <si>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</si>
  <si>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</si>
  <si>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</si>
  <si>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</si>
  <si>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</si>
  <si>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</si>
  <si>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</si>
  <si>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</si>
  <si>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</si>
  <si>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</si>
  <si>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</si>
  <si>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</si>
  <si>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</si>
  <si>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</si>
  <si>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</si>
  <si>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</si>
  <si>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</si>
  <si>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</si>
  <si>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</si>
  <si>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</si>
  <si>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</si>
  <si>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</si>
  <si>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</si>
  <si>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</si>
  <si>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</si>
  <si>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</si>
  <si>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</si>
  <si>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</si>
  <si>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</si>
  <si>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</si>
  <si>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</si>
  <si>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</si>
  <si>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</si>
  <si>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</si>
  <si>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</si>
  <si>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</si>
  <si>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</si>
  <si>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</si>
  <si>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</si>
  <si>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</si>
  <si>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</si>
  <si>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</si>
  <si>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</si>
  <si>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</si>
  <si>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</si>
  <si>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</si>
  <si>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</si>
  <si>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</si>
  <si>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</si>
  <si>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</si>
  <si>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</si>
  <si>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</si>
  <si>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</si>
  <si>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</si>
  <si>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</si>
  <si>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</si>
  <si>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</si>
  <si>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</si>
  <si>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</si>
  <si>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</si>
  <si>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</si>
  <si>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</si>
  <si>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</si>
  <si>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</si>
  <si>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</si>
  <si>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</si>
  <si>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</si>
  <si>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</si>
  <si>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</si>
  <si>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</si>
  <si>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</si>
  <si>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</si>
  <si>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</si>
  <si>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</si>
  <si>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</si>
  <si>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</si>
  <si>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</si>
  <si>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</si>
  <si>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</si>
  <si>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</si>
  <si>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</si>
  <si>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</si>
  <si>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</si>
  <si>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</si>
  <si>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</si>
  <si>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</si>
  <si>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</si>
  <si>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</si>
  <si>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</si>
  <si>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</si>
  <si>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</si>
  <si>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</si>
  <si>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</si>
  <si>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</si>
  <si>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</si>
  <si>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</si>
  <si>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</si>
  <si>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</si>
  <si>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</si>
  <si>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</si>
  <si>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</si>
  <si>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</si>
  <si>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</si>
  <si>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</si>
  <si>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</si>
  <si>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</si>
  <si>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</si>
  <si>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</si>
  <si>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</si>
  <si>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</si>
  <si>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</si>
  <si>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</si>
  <si>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</si>
  <si>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</si>
  <si>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</si>
  <si>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</si>
  <si>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</si>
  <si>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</si>
  <si>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</si>
  <si>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</si>
  <si>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</si>
  <si>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</si>
  <si>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</si>
  <si>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</si>
  <si>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</si>
  <si>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</si>
  <si>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</si>
  <si>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</si>
  <si>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</si>
  <si>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</si>
  <si>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</si>
  <si>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</si>
  <si>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</si>
  <si>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</si>
  <si>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</si>
  <si>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</si>
  <si>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</si>
  <si>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</si>
  <si>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</si>
  <si>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</si>
  <si>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</si>
  <si>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</si>
  <si>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</si>
  <si>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</si>
  <si>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</si>
  <si>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</si>
  <si>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</si>
  <si>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</si>
  <si>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</si>
  <si>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</si>
  <si>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</si>
  <si>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</si>
  <si>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</si>
  <si>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</si>
  <si>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</si>
  <si>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</si>
  <si>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</si>
  <si>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</si>
  <si>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</si>
  <si>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</si>
  <si>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</si>
  <si>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</si>
  <si>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</si>
  <si>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</si>
  <si>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</si>
  <si>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</si>
  <si>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</si>
  <si>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</si>
  <si>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</si>
  <si>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</si>
  <si>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</si>
  <si>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</si>
  <si>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</si>
  <si>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</si>
  <si>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</si>
  <si>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</si>
  <si>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</si>
  <si>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</si>
  <si>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</si>
  <si>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</si>
  <si>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</si>
  <si>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</si>
  <si>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</si>
  <si>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</si>
  <si>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</si>
  <si>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</si>
  <si>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</si>
  <si>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</si>
  <si>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</si>
  <si>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</si>
  <si>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</si>
  <si>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</si>
  <si>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</si>
  <si>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</si>
  <si>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</si>
  <si>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</si>
  <si>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</si>
  <si>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</si>
  <si>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</si>
  <si>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</si>
  <si>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</si>
  <si>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</si>
  <si>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</si>
  <si>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</si>
  <si>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</si>
  <si>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</si>
  <si>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</si>
  <si>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</si>
  <si>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</si>
  <si>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</si>
  <si>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</si>
  <si>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</si>
  <si>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</si>
  <si>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</si>
  <si>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</si>
  <si>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</si>
  <si>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</si>
  <si>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</si>
  <si>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</si>
  <si>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</si>
  <si>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</si>
  <si>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</si>
  <si>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</si>
  <si>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</si>
  <si>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</si>
  <si>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</si>
  <si>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</si>
  <si>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</si>
  <si>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</si>
  <si>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</si>
  <si>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</si>
  <si>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</si>
  <si>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</si>
  <si>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</si>
  <si>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</si>
  <si>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</si>
  <si>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</si>
  <si>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</si>
  <si>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</si>
  <si>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</si>
  <si>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</si>
  <si>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</si>
  <si>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</si>
  <si>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</si>
  <si>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</si>
  <si>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</si>
  <si>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</si>
  <si>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</si>
  <si>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</si>
  <si>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</si>
  <si>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</si>
  <si>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</si>
  <si>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</si>
  <si>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</si>
  <si>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</si>
  <si>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</si>
  <si>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</si>
  <si>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</si>
  <si>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</si>
  <si>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</si>
  <si>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</si>
  <si>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</si>
  <si>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</si>
  <si>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</si>
  <si>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</si>
  <si>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</si>
  <si>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</si>
  <si>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</si>
  <si>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</si>
  <si>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</si>
  <si>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</si>
  <si>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</si>
  <si>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</si>
  <si>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</si>
  <si>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</si>
  <si>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</si>
  <si>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</si>
  <si>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</si>
  <si>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</si>
  <si>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</si>
  <si>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</si>
  <si>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</si>
  <si>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</si>
  <si>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</si>
  <si>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</si>
  <si>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</si>
  <si>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</si>
  <si>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</si>
  <si>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</si>
  <si>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</si>
  <si>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</si>
  <si>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</si>
  <si>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</si>
  <si>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</si>
  <si>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</si>
  <si>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</si>
  <si>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</si>
  <si>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</si>
  <si>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</si>
  <si>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</si>
  <si>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</si>
  <si>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</si>
  <si>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</si>
  <si>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</si>
  <si>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</si>
  <si>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</si>
  <si>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</si>
  <si>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</si>
  <si>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</si>
  <si>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</si>
  <si>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</si>
  <si>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</si>
  <si>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</si>
  <si>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</si>
  <si>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</si>
  <si>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</si>
  <si>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</si>
  <si>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</si>
  <si>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</si>
  <si>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</si>
  <si>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</si>
  <si>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</si>
  <si>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</si>
  <si>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</si>
  <si>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</si>
  <si>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</si>
  <si>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</si>
  <si>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</si>
  <si>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</si>
  <si>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</si>
  <si>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</si>
  <si>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</si>
  <si>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</si>
  <si>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</si>
  <si>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</si>
  <si>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</si>
  <si>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</si>
  <si>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</si>
  <si>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</si>
  <si>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</si>
  <si>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</si>
  <si>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</si>
  <si>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</si>
  <si>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</si>
  <si>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</si>
  <si>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</si>
  <si>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</si>
  <si>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</si>
  <si>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</si>
  <si>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</si>
  <si>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</si>
  <si>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</si>
  <si>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</si>
  <si>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</si>
  <si>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</si>
  <si>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</si>
  <si>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</si>
  <si>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</si>
  <si>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</si>
  <si>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</si>
  <si>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</si>
  <si>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</si>
  <si>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</si>
  <si>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</si>
  <si>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</si>
  <si>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</si>
  <si>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</si>
  <si>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</si>
  <si>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</si>
  <si>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</si>
  <si>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</si>
  <si>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</si>
  <si>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</si>
  <si>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</si>
  <si>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</si>
  <si>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</si>
  <si>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</si>
  <si>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</si>
  <si>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</si>
  <si>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</si>
  <si>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</si>
  <si>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</si>
  <si>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</si>
  <si>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</si>
  <si>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</si>
  <si>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</si>
  <si>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</si>
  <si>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</si>
  <si>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</si>
  <si>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</si>
  <si>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</si>
  <si>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</si>
  <si>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</si>
  <si>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</si>
  <si>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</si>
  <si>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</si>
  <si>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</si>
  <si>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</si>
  <si>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</si>
  <si>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</si>
  <si>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</si>
  <si>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</si>
  <si>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</si>
  <si>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</si>
  <si>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</si>
  <si>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</si>
  <si>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</si>
  <si>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</si>
  <si>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</si>
  <si>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</si>
  <si>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</si>
  <si>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</si>
  <si>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</si>
  <si>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</si>
  <si>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</si>
  <si>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</si>
  <si>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</si>
  <si>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</si>
  <si>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</si>
  <si>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</si>
  <si>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</si>
  <si>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</si>
  <si>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</si>
  <si>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</si>
  <si>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</si>
  <si>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</si>
  <si>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</si>
  <si>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</si>
  <si>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</si>
  <si>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</si>
  <si>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</si>
  <si>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</si>
  <si>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</si>
  <si>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</si>
  <si>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</si>
  <si>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</si>
  <si>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</si>
  <si>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</si>
  <si>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</si>
  <si>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</si>
  <si>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</si>
  <si>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</si>
  <si>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</si>
  <si>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</si>
  <si>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</si>
  <si>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</si>
  <si>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</si>
  <si>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</si>
  <si>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</si>
  <si>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</si>
  <si>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</si>
  <si>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</si>
  <si>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</si>
  <si>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</si>
  <si>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</si>
  <si>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</si>
  <si>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</si>
  <si>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</si>
  <si>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</si>
  <si>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</si>
  <si>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</si>
  <si>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</si>
  <si>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</si>
  <si>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</si>
  <si>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</si>
  <si>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</si>
  <si>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</si>
  <si>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</si>
  <si>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</si>
  <si>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</si>
  <si>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</si>
  <si>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</si>
  <si>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</si>
  <si>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</si>
  <si>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</si>
  <si>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</si>
  <si>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</si>
  <si>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</si>
  <si>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</si>
  <si>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</si>
  <si>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</si>
  <si>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</si>
  <si>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</si>
  <si>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</si>
  <si>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</si>
  <si>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</si>
  <si>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</si>
  <si>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</si>
  <si>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</si>
  <si>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</si>
  <si>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</si>
  <si>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</si>
  <si>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</si>
  <si>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</si>
  <si>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</si>
  <si>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</si>
  <si>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</si>
  <si>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</si>
  <si>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</si>
  <si>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</si>
  <si>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</si>
  <si>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</si>
  <si>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</si>
  <si>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</si>
  <si>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</si>
  <si>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</si>
  <si>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</si>
  <si>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</si>
  <si>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</si>
  <si>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</si>
  <si>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</si>
  <si>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</si>
  <si>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</si>
  <si>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</si>
  <si>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</si>
  <si>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</si>
  <si>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</si>
  <si>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</si>
  <si>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</si>
  <si>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</si>
  <si>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</si>
  <si>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</si>
  <si>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</si>
  <si>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</si>
  <si>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</si>
  <si>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</si>
  <si>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</si>
  <si>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</si>
  <si>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</si>
  <si>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</si>
  <si>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</si>
  <si>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</si>
  <si>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</si>
  <si>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</si>
  <si>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</si>
  <si>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</si>
  <si>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</si>
  <si>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</si>
  <si>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</si>
  <si>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</si>
  <si>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</si>
  <si>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</si>
  <si>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</si>
  <si>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</si>
  <si>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</si>
  <si>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</si>
  <si>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</si>
  <si>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</si>
  <si>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</si>
  <si>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</si>
  <si>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</si>
  <si>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</si>
  <si>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</si>
  <si>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</si>
  <si>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</si>
  <si>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</si>
  <si>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</si>
  <si>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</si>
  <si>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</si>
  <si>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</si>
  <si>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</si>
  <si>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</si>
  <si>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</si>
  <si>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</si>
  <si>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</si>
  <si>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</si>
  <si>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</si>
  <si>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</si>
  <si>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</si>
  <si>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</si>
  <si>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</si>
  <si>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</si>
  <si>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</si>
  <si>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</si>
  <si>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</si>
  <si>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</si>
  <si>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</si>
  <si>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</si>
  <si>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</si>
  <si>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</si>
  <si>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</si>
  <si>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</si>
  <si>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</si>
  <si>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</si>
  <si>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</si>
  <si>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</si>
  <si>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</si>
  <si>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</si>
  <si>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</si>
  <si>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</si>
  <si>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</si>
  <si>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</si>
  <si>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</si>
  <si>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</si>
  <si>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</si>
  <si>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</si>
  <si>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</si>
  <si>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</si>
  <si>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</si>
  <si>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</si>
  <si>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</si>
  <si>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</si>
  <si>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</si>
  <si>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</si>
  <si>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</si>
  <si>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</si>
  <si>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</si>
  <si>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</si>
  <si>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</si>
  <si>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</si>
  <si>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</si>
  <si>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</si>
  <si>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</si>
  <si>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</si>
  <si>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</si>
  <si>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</si>
  <si>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</si>
  <si>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</si>
  <si>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</si>
  <si>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</si>
  <si>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</si>
  <si>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</si>
  <si>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</si>
  <si>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</si>
  <si>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</si>
  <si>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</si>
  <si>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</si>
  <si>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</si>
  <si>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</si>
  <si>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</si>
  <si>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</si>
  <si>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</si>
  <si>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</si>
  <si>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</si>
  <si>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</si>
  <si>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</si>
  <si>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</si>
  <si>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</si>
  <si>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</si>
  <si>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</si>
  <si>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</si>
  <si>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</si>
  <si>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</si>
  <si>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</si>
  <si>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</si>
  <si>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</si>
  <si>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</si>
  <si>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</si>
  <si>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</si>
  <si>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</si>
  <si>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</si>
  <si>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</si>
  <si>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</si>
  <si>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</si>
  <si>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</si>
  <si>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</si>
  <si>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</si>
  <si>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</si>
  <si>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</si>
  <si>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</si>
  <si>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</si>
  <si>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</si>
  <si>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</si>
  <si>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</si>
  <si>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</si>
  <si>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</si>
  <si>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</si>
  <si>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</si>
  <si>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</si>
  <si>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</si>
  <si>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</si>
  <si>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</si>
  <si>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</si>
  <si>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</si>
  <si>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</si>
  <si>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</si>
  <si>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</si>
  <si>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</si>
  <si>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</si>
  <si>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</si>
  <si>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</si>
  <si>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</si>
  <si>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</si>
  <si>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</si>
  <si>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</si>
  <si>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</si>
  <si>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</si>
  <si>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</si>
  <si>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</si>
  <si>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</si>
  <si>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</si>
  <si>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</si>
  <si>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</si>
  <si>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</si>
  <si>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</si>
  <si>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</si>
  <si>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</si>
  <si>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</si>
  <si>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</si>
  <si>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</si>
  <si>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</si>
  <si>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</si>
  <si>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</si>
  <si>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</si>
  <si>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</si>
  <si>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</si>
  <si>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</si>
  <si>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</si>
  <si>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</si>
  <si>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</si>
  <si>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</si>
  <si>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</si>
  <si>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</si>
  <si>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</si>
  <si>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</si>
  <si>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</si>
  <si>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</si>
  <si>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</si>
  <si>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</si>
  <si>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</si>
  <si>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</si>
  <si>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</si>
  <si>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</si>
  <si>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</si>
  <si>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</si>
  <si>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</si>
  <si>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</si>
  <si>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</si>
  <si>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</si>
  <si>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</si>
  <si>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</si>
  <si>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</si>
  <si>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</si>
  <si>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</si>
  <si>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</si>
  <si>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</si>
  <si>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</si>
  <si>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</si>
  <si>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</si>
  <si>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</si>
  <si>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</si>
  <si>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</si>
  <si>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</si>
  <si>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</si>
  <si>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</si>
  <si>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</si>
  <si>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</si>
  <si>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</si>
  <si>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</si>
  <si>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</si>
  <si>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</si>
  <si>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</si>
  <si>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</si>
  <si>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</si>
  <si>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</si>
  <si>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</si>
  <si>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</si>
  <si>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</si>
  <si>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</si>
  <si>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</si>
  <si>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</si>
  <si>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</si>
  <si>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</si>
  <si>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</si>
  <si>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</si>
  <si>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</si>
  <si>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</si>
  <si>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</si>
  <si>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</si>
  <si>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</si>
  <si>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</si>
  <si>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</si>
  <si>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</si>
  <si>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</si>
  <si>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</si>
  <si>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</si>
  <si>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</si>
  <si>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</si>
  <si>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</si>
  <si>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</si>
  <si>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</si>
  <si>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</si>
  <si>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</si>
  <si>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</si>
  <si>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</si>
  <si>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</si>
  <si>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</si>
  <si>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</si>
  <si>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</si>
  <si>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</si>
  <si>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</si>
  <si>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</si>
  <si>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</si>
  <si>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</si>
  <si>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</si>
  <si>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</si>
  <si>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</si>
  <si>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</si>
  <si>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</si>
  <si>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</si>
  <si>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</si>
  <si>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</si>
  <si>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</si>
  <si>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</si>
  <si>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</si>
  <si>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</si>
  <si>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</si>
  <si>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</si>
  <si>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</si>
  <si>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</si>
  <si>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</si>
  <si>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</si>
  <si>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</si>
  <si>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</si>
  <si>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</si>
  <si>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</si>
  <si>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</si>
  <si>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</si>
  <si>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</si>
  <si>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</si>
  <si>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</si>
  <si>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</si>
  <si>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</si>
  <si>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</si>
  <si>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</si>
  <si>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</si>
  <si>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</si>
  <si>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</si>
  <si>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</si>
  <si>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</si>
  <si>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</si>
  <si>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</si>
  <si>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</si>
  <si>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</si>
  <si>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</si>
  <si>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</si>
  <si>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</si>
  <si>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</si>
  <si>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</si>
  <si>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</si>
  <si>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</si>
  <si>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</si>
  <si>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</si>
  <si>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</si>
  <si>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</si>
  <si>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</si>
  <si>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</si>
  <si>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</si>
  <si>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</si>
  <si>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</si>
  <si>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</si>
  <si>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</si>
  <si>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</si>
  <si>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</si>
  <si>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</si>
  <si>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</si>
  <si>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</si>
  <si>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</si>
  <si>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</si>
  <si>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</si>
  <si>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</si>
  <si>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</si>
  <si>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</si>
  <si>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</si>
  <si>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</si>
  <si>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</si>
  <si>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</si>
  <si>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</si>
  <si>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</si>
  <si>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</si>
  <si>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</si>
  <si>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</si>
  <si>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</si>
  <si>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</si>
  <si>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</si>
  <si>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</si>
  <si>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</si>
  <si>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</si>
  <si>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</si>
  <si>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</si>
  <si>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</si>
  <si>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</si>
  <si>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</si>
  <si>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</si>
  <si>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</si>
  <si>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</si>
  <si>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</si>
  <si>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</si>
  <si>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</si>
  <si>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</si>
  <si>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</si>
  <si>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</si>
  <si>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</si>
  <si>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</si>
  <si>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</si>
  <si>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</si>
  <si>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</si>
  <si>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</si>
  <si>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</si>
  <si>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</si>
  <si>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</si>
  <si>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</si>
  <si>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</si>
  <si>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</si>
  <si>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</si>
  <si>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</si>
  <si>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</si>
  <si>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</si>
  <si>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</si>
  <si>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</si>
  <si>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</si>
  <si>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</si>
  <si>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</si>
  <si>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</si>
  <si>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</si>
  <si>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</si>
  <si>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</si>
  <si>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</si>
  <si>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</si>
  <si>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</si>
  <si>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</si>
  <si>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</si>
  <si>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</si>
  <si>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</si>
  <si>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</si>
  <si>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</si>
  <si>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</si>
  <si>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</si>
  <si>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</si>
  <si>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</si>
  <si>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</si>
  <si>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</si>
  <si>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</si>
  <si>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</si>
  <si>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</si>
  <si>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</si>
  <si>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</si>
  <si>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</si>
  <si>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</si>
  <si>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</si>
  <si>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</si>
  <si>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</si>
  <si>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</si>
  <si>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</si>
  <si>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</si>
  <si>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</si>
  <si>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</si>
  <si>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</si>
  <si>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</si>
  <si>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</si>
  <si>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</si>
  <si>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</si>
  <si>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</si>
  <si>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</si>
  <si>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</si>
  <si>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</si>
  <si>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</si>
  <si>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</si>
  <si>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</si>
  <si>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</si>
  <si>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</si>
  <si>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</si>
  <si>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</si>
  <si>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</si>
  <si>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</si>
  <si>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</si>
  <si>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</si>
  <si>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</si>
  <si>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</si>
  <si>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</si>
  <si>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</si>
  <si>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</si>
  <si>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</si>
  <si>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</si>
  <si>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</si>
  <si>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</si>
  <si>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</si>
  <si>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</si>
  <si>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</si>
  <si>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</si>
  <si>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</si>
  <si>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</si>
  <si>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</si>
  <si>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</si>
  <si>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</si>
  <si>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</si>
  <si>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</si>
  <si>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</si>
  <si>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</si>
  <si>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</si>
  <si>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</si>
  <si>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</si>
  <si>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</si>
  <si>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</si>
  <si>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</si>
  <si>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</si>
  <si>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</si>
  <si>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</si>
  <si>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</si>
  <si>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</si>
  <si>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</si>
  <si>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</si>
  <si>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</si>
  <si>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</si>
  <si>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</si>
  <si>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</si>
  <si>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</si>
  <si>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</si>
  <si>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</si>
  <si>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</si>
  <si>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</si>
  <si>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</si>
  <si>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</si>
  <si>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</si>
  <si>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</si>
  <si>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</si>
  <si>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</si>
  <si>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</si>
  <si>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</si>
  <si>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</si>
  <si>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</si>
  <si>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</si>
  <si>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</si>
  <si>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</si>
  <si>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</si>
  <si>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</si>
  <si>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</si>
  <si>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</si>
  <si>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</si>
  <si>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</si>
  <si>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</si>
  <si>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</si>
  <si>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</si>
  <si>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</si>
  <si>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</si>
  <si>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</si>
  <si>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</si>
  <si>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</si>
  <si>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</si>
  <si>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</si>
  <si>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</si>
  <si>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</si>
  <si>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</si>
  <si>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</si>
  <si>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</si>
  <si>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</si>
  <si>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</si>
  <si>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</si>
  <si>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</si>
  <si>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</si>
  <si>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</si>
  <si>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</si>
  <si>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</si>
  <si>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</si>
  <si>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</si>
  <si>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</si>
  <si>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</si>
  <si>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</si>
  <si>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</si>
  <si>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</si>
  <si>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</si>
  <si>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</si>
  <si>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</si>
  <si>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</si>
  <si>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</si>
  <si>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</si>
  <si>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</si>
  <si>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</si>
  <si>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</si>
  <si>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</si>
  <si>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</si>
  <si>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</si>
  <si>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</si>
  <si>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</si>
  <si>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</si>
  <si>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</si>
  <si>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</si>
  <si>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</si>
  <si>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</si>
  <si>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</si>
  <si>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</si>
  <si>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</si>
  <si>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</si>
  <si>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</si>
  <si>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</si>
  <si>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</si>
  <si>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</si>
  <si>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</si>
  <si>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</si>
  <si>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</si>
  <si>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</si>
  <si>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</si>
  <si>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</si>
  <si>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</si>
  <si>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</si>
  <si>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</si>
  <si>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</si>
  <si>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</si>
  <si>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</si>
  <si>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</si>
  <si>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</si>
  <si>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</si>
  <si>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</si>
  <si>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</si>
  <si>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</si>
  <si>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</si>
  <si>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</si>
  <si>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</si>
  <si>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</si>
  <si>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</si>
  <si>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</si>
  <si>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</si>
  <si>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</si>
  <si>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</si>
  <si>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</si>
  <si>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</si>
  <si>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</si>
  <si>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</si>
  <si>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</si>
  <si>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</si>
  <si>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</si>
  <si>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</si>
  <si>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</si>
  <si>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</si>
  <si>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</si>
  <si>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</si>
  <si>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</si>
  <si>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</si>
  <si>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</si>
  <si>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</si>
  <si>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</si>
  <si>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</si>
  <si>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</si>
  <si>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</si>
  <si>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</si>
  <si>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</si>
  <si>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</si>
  <si>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</si>
  <si>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</si>
  <si>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</si>
  <si>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</si>
  <si>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</si>
  <si>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</si>
  <si>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</si>
  <si>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</si>
  <si>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</si>
  <si>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</si>
  <si>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</si>
  <si>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</si>
  <si>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</si>
  <si>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</si>
  <si>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</si>
  <si>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</si>
  <si>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</si>
  <si>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</si>
  <si>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</si>
  <si>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</si>
  <si>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</si>
  <si>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</si>
  <si>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</si>
  <si>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</si>
  <si>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</si>
  <si>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</si>
  <si>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</si>
  <si>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</si>
  <si>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</si>
  <si>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</si>
  <si>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</si>
  <si>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</si>
  <si>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</si>
  <si>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</si>
  <si>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</si>
  <si>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</si>
  <si>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</si>
  <si>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</si>
  <si>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</si>
  <si>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</si>
  <si>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</si>
  <si>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</si>
  <si>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</si>
  <si>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</si>
  <si>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</si>
  <si>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</si>
  <si>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</si>
  <si>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</si>
  <si>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</si>
  <si>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</si>
  <si>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</si>
  <si>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</si>
  <si>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</si>
  <si>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</si>
  <si>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</si>
  <si>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</si>
  <si>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</si>
  <si>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</si>
  <si>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</si>
  <si>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</si>
  <si>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</si>
  <si>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</si>
  <si>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</si>
  <si>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</si>
  <si>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</si>
  <si>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</si>
  <si>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</si>
  <si>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</si>
  <si>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</si>
  <si>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</si>
  <si>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</si>
  <si>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</si>
  <si>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</si>
  <si>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</si>
  <si>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</si>
  <si>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</si>
  <si>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</si>
  <si>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</si>
  <si>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</si>
  <si>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</si>
  <si>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</si>
  <si>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</si>
  <si>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</si>
  <si>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</si>
  <si>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</si>
  <si>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</si>
  <si>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</si>
  <si>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</si>
  <si>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</si>
  <si>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</si>
  <si>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</si>
  <si>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</si>
  <si>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</si>
  <si>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</si>
  <si>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</si>
  <si>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</si>
  <si>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</si>
  <si>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</si>
  <si>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</si>
  <si>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</si>
  <si>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</si>
  <si>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</si>
  <si>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</si>
  <si>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</si>
  <si>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</si>
  <si>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</si>
  <si>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</si>
  <si>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</si>
  <si>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</si>
  <si>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</si>
  <si>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</si>
  <si>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</si>
  <si>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</si>
  <si>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</si>
  <si>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</si>
  <si>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</si>
  <si>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</si>
  <si>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</si>
  <si>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</si>
  <si>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</si>
  <si>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</si>
  <si>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</si>
  <si>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</si>
  <si>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</si>
  <si>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</si>
  <si>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</si>
  <si>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</si>
  <si>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</si>
  <si>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</si>
  <si>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</si>
  <si>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</si>
  <si>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</si>
  <si>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</si>
  <si>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</si>
  <si>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</si>
  <si>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</si>
  <si>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</si>
  <si>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</si>
  <si>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</si>
  <si>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</si>
  <si>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</si>
  <si>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</si>
  <si>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</si>
  <si>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</si>
  <si>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</si>
  <si>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</si>
  <si>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</si>
  <si>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</si>
  <si>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</si>
  <si>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</si>
  <si>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</si>
  <si>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</si>
  <si>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</si>
  <si>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</si>
  <si>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</si>
  <si>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</si>
  <si>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</si>
  <si>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</si>
  <si>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</si>
  <si>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</si>
  <si>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</si>
  <si>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</si>
  <si>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</si>
  <si>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</si>
  <si>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</si>
  <si>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</si>
  <si>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</si>
  <si>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</si>
  <si>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</si>
  <si>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</si>
  <si>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</si>
  <si>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</si>
  <si>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</si>
  <si>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</si>
  <si>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</si>
  <si>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</si>
  <si>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</si>
  <si>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</si>
  <si>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</si>
  <si>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</si>
  <si>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</si>
  <si>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</si>
  <si>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</si>
  <si>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</si>
  <si>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</si>
  <si>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</si>
  <si>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</si>
  <si>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</si>
  <si>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</si>
  <si>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</si>
  <si>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</si>
  <si>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</si>
  <si>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</si>
  <si>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</si>
  <si>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</si>
  <si>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</si>
  <si>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</si>
  <si>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</si>
  <si>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</si>
  <si>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</si>
  <si>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</si>
  <si>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</si>
  <si>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</si>
  <si>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</si>
  <si>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</si>
  <si>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</si>
  <si>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</si>
  <si>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</si>
  <si>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</si>
  <si>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</si>
  <si>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</si>
  <si>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</si>
  <si>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</si>
  <si>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</si>
  <si>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</si>
  <si>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</si>
  <si>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</si>
  <si>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</si>
  <si>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</si>
  <si>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</si>
  <si>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</si>
  <si>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</si>
  <si>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</si>
  <si>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</si>
  <si>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</si>
  <si>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</si>
  <si>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</si>
  <si>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</si>
  <si>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</si>
  <si>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</si>
  <si>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</si>
  <si>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</si>
  <si>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</si>
  <si>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</si>
  <si>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</si>
  <si>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</si>
  <si>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</si>
  <si>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</si>
  <si>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</si>
  <si>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</si>
  <si>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</si>
  <si>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</si>
  <si>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</si>
  <si>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</si>
  <si>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</si>
  <si>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</si>
  <si>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</si>
  <si>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</si>
  <si>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</si>
  <si>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</si>
  <si>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</si>
  <si>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</si>
  <si>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</si>
  <si>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</si>
  <si>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</si>
  <si>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</si>
  <si>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</si>
  <si>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</si>
  <si>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</si>
  <si>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</si>
  <si>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</si>
  <si>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</si>
  <si>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</si>
  <si>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</si>
  <si>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</si>
  <si>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</si>
  <si>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</si>
  <si>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</si>
  <si>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</si>
  <si>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</si>
  <si>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</si>
  <si>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</si>
  <si>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</si>
  <si>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</si>
  <si>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</si>
  <si>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</si>
  <si>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</si>
  <si>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</si>
  <si>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</si>
  <si>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</si>
  <si>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</si>
  <si>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</si>
  <si>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</si>
  <si>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</si>
  <si>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</si>
  <si>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</si>
  <si>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</si>
  <si>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</si>
  <si>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</si>
  <si>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</si>
  <si>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</si>
  <si>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</si>
  <si>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</si>
  <si>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</si>
  <si>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</si>
  <si>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</si>
  <si>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</si>
  <si>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</si>
  <si>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</si>
  <si>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</si>
  <si>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</si>
  <si>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</si>
  <si>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</si>
  <si>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</si>
  <si>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</si>
  <si>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</si>
  <si>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</si>
  <si>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</si>
  <si>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</si>
  <si>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</si>
  <si>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</si>
  <si>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</si>
  <si>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</si>
  <si>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</si>
  <si>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</si>
  <si>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</si>
  <si>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</si>
  <si>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</si>
  <si>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</si>
  <si>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</si>
  <si>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</si>
  <si>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</si>
  <si>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</si>
  <si>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</si>
  <si>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</si>
  <si>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</si>
  <si>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</si>
  <si>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</si>
  <si>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</si>
  <si>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</si>
  <si>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</si>
  <si>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</si>
  <si>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</si>
  <si>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</si>
  <si>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</si>
  <si>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</si>
  <si>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</si>
  <si>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</si>
  <si>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</si>
  <si>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</si>
  <si>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</si>
  <si>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</si>
  <si>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</si>
  <si>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</si>
  <si>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</si>
  <si>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</si>
  <si>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</si>
  <si>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</si>
  <si>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</si>
  <si>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</si>
  <si>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</si>
  <si>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</si>
  <si>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</si>
  <si>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</si>
  <si>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</si>
  <si>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</si>
  <si>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</si>
  <si>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</si>
  <si>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</si>
  <si>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</si>
  <si>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</si>
  <si>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</si>
  <si>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</si>
  <si>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</si>
  <si>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</si>
  <si>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</si>
  <si>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</si>
  <si>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</si>
  <si>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</si>
  <si>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</si>
  <si>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</si>
  <si>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</si>
  <si>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</si>
  <si>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</si>
  <si>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</si>
  <si>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</si>
  <si>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</si>
  <si>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</si>
  <si>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</si>
  <si>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</si>
  <si>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</si>
  <si>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</si>
  <si>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</si>
  <si>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</si>
  <si>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</si>
  <si>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</si>
  <si>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</si>
  <si>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</si>
  <si>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</si>
  <si>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</si>
  <si>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</si>
  <si>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</si>
  <si>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</si>
  <si>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</si>
  <si>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</si>
  <si>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</si>
  <si>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</si>
  <si>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</si>
  <si>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</si>
  <si>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</si>
  <si>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</si>
  <si>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</si>
  <si>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</si>
  <si>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</si>
  <si>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</si>
  <si>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</si>
  <si>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</si>
  <si>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</si>
  <si>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</si>
  <si>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</si>
  <si>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</si>
  <si>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</si>
  <si>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</si>
  <si>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</si>
  <si>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</si>
  <si>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</si>
  <si>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</si>
  <si>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</si>
  <si>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</si>
  <si>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</si>
  <si>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</si>
  <si>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</si>
  <si>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</si>
  <si>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</si>
  <si>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</si>
  <si>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</si>
  <si>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</si>
  <si>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</si>
  <si>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</si>
  <si>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</si>
  <si>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</si>
  <si>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</si>
  <si>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</si>
  <si>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</si>
  <si>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</si>
  <si>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</si>
  <si>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</si>
  <si>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</si>
  <si>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</si>
  <si>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</si>
  <si>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</si>
  <si>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</si>
  <si>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</si>
  <si>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</si>
  <si>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</si>
  <si>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</si>
  <si>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</si>
  <si>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</si>
  <si>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</si>
  <si>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</si>
  <si>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</si>
  <si>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</si>
  <si>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</si>
  <si>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</si>
  <si>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</si>
  <si>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</si>
  <si>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</si>
  <si>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</si>
  <si>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</si>
  <si>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</si>
  <si>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</si>
  <si>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</si>
  <si>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</si>
  <si>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</si>
  <si>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</si>
  <si>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</si>
  <si>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</si>
  <si>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</si>
  <si>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</si>
  <si>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</si>
  <si>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</si>
  <si>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</si>
  <si>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</si>
  <si>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</si>
  <si>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</si>
  <si>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</si>
  <si>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</si>
  <si>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</si>
  <si>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</si>
  <si>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</si>
  <si>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</si>
  <si>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</si>
  <si>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</si>
  <si>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</si>
  <si>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</si>
  <si>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</si>
  <si>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</si>
  <si>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</si>
  <si>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</si>
  <si>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</si>
  <si>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</si>
  <si>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</si>
  <si>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</si>
  <si>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</si>
  <si>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</si>
  <si>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</si>
  <si>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</si>
  <si>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</si>
  <si>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</si>
  <si>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</si>
  <si>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</si>
  <si>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</si>
  <si>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</si>
  <si>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</si>
  <si>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</si>
  <si>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</si>
  <si>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</si>
  <si>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</si>
  <si>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</si>
  <si>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</si>
  <si>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</si>
  <si>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</si>
  <si>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</si>
  <si>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</si>
  <si>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</si>
  <si>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</si>
  <si>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</si>
  <si>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</si>
  <si>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</si>
  <si>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</si>
  <si>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</si>
  <si>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</si>
  <si>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</si>
  <si>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</si>
  <si>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</si>
  <si>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</si>
  <si>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</si>
  <si>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</si>
  <si>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</si>
  <si>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</si>
  <si>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</si>
  <si>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</si>
  <si>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</si>
  <si>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</si>
  <si>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</si>
  <si>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</si>
  <si>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</si>
  <si>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</si>
  <si>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</si>
  <si>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</si>
  <si>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</si>
  <si>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</si>
  <si>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</si>
  <si>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</si>
  <si>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</si>
  <si>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</si>
  <si>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</si>
  <si>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</si>
  <si>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</si>
  <si>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</si>
  <si>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</si>
  <si>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</si>
  <si>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</si>
  <si>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</si>
  <si>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</si>
  <si>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</si>
  <si>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</si>
  <si>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</si>
  <si>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</si>
  <si>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</si>
  <si>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</si>
  <si>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</si>
  <si>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</si>
  <si>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</si>
  <si>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</si>
  <si>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</si>
  <si>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</si>
  <si>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</si>
  <si>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</si>
  <si>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</si>
  <si>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</si>
  <si>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</si>
  <si>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</si>
  <si>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</si>
  <si>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</si>
  <si>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</si>
  <si>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</si>
  <si>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</si>
  <si>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</si>
  <si>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</si>
  <si>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</si>
  <si>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</si>
  <si>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</si>
  <si>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</si>
  <si>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</si>
  <si>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</si>
  <si>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</si>
  <si>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</si>
  <si>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</si>
  <si>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</si>
  <si>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</si>
  <si>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</si>
  <si>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</si>
  <si>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</si>
  <si>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</si>
  <si>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</si>
  <si>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</si>
  <si>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</si>
  <si>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</si>
  <si>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</si>
  <si>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</si>
  <si>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</si>
  <si>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</si>
  <si>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</si>
  <si>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</si>
  <si>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</si>
  <si>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</si>
  <si>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</si>
  <si>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</si>
  <si>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</si>
  <si>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</si>
  <si>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</si>
  <si>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</si>
  <si>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</si>
  <si>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</si>
  <si>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</si>
  <si>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</si>
  <si>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</si>
  <si>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</si>
  <si>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</si>
  <si>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</si>
  <si>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</si>
  <si>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</si>
  <si>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</si>
  <si>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</si>
  <si>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</si>
  <si>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</si>
  <si>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</si>
  <si>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</si>
  <si>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</si>
  <si>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</si>
  <si>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</si>
  <si>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</si>
  <si>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</si>
  <si>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</si>
  <si>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</si>
  <si>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</si>
  <si>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</si>
  <si>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</si>
  <si>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</si>
  <si>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</si>
  <si>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</si>
  <si>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</si>
  <si>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</si>
  <si>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</si>
  <si>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</si>
  <si>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</si>
  <si>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</si>
  <si>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</si>
  <si>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</si>
  <si>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</si>
  <si>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</si>
  <si>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</si>
  <si>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</si>
  <si>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</si>
  <si>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</si>
  <si>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</si>
  <si>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</si>
  <si>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</si>
  <si>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</si>
  <si>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</si>
  <si>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</si>
  <si>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</si>
  <si>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</si>
  <si>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</si>
  <si>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</si>
  <si>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</si>
  <si>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</si>
  <si>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</si>
  <si>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</si>
  <si>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</si>
  <si>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</si>
  <si>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</si>
  <si>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</si>
  <si>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</si>
  <si>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</si>
  <si>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</si>
  <si>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</si>
  <si>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</si>
  <si>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</si>
  <si>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</si>
  <si>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</si>
  <si>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</si>
  <si>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</si>
  <si>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</si>
  <si>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</si>
  <si>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</si>
  <si>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</si>
  <si>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</si>
  <si>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</si>
  <si>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</si>
  <si>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</si>
  <si>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</si>
  <si>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</si>
  <si>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</si>
  <si>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</si>
  <si>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</si>
  <si>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</si>
  <si>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</si>
  <si>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</si>
  <si>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</si>
  <si>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</si>
  <si>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</si>
  <si>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</si>
  <si>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</si>
  <si>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</si>
  <si>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</si>
  <si>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</si>
  <si>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</si>
  <si>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</si>
  <si>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</si>
  <si>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</si>
  <si>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</si>
  <si>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</si>
  <si>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</si>
  <si>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</si>
  <si>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</si>
  <si>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</si>
  <si>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</si>
  <si>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</si>
  <si>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</si>
  <si>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</si>
  <si>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</si>
  <si>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</si>
  <si>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</si>
  <si>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</si>
  <si>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</si>
  <si>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</si>
  <si>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</si>
  <si>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</si>
  <si>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</si>
  <si>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</si>
  <si>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</si>
  <si>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</si>
  <si>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</si>
  <si>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</si>
  <si>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</si>
  <si>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</si>
  <si>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</si>
  <si>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</si>
  <si>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</si>
  <si>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</si>
  <si>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</si>
  <si>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</si>
  <si>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</si>
  <si>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</si>
  <si>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</si>
  <si>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</si>
  <si>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</si>
  <si>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</si>
  <si>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</si>
  <si>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</si>
  <si>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</si>
  <si>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</si>
  <si>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</si>
  <si>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</si>
  <si>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</si>
  <si>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</si>
  <si>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</si>
  <si>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</si>
  <si>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</si>
  <si>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</si>
  <si>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</si>
  <si>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</si>
  <si>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</si>
  <si>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</si>
  <si>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</si>
  <si>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</si>
  <si>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</si>
  <si>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</si>
  <si>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</si>
  <si>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</si>
  <si>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</si>
  <si>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</si>
  <si>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</si>
  <si>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</si>
  <si>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</si>
  <si>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</si>
  <si>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</si>
  <si>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</si>
  <si>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</si>
  <si>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</si>
  <si>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</si>
  <si>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</si>
  <si>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</si>
  <si>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</si>
  <si>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</si>
  <si>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</si>
  <si>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</si>
  <si>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</si>
  <si>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</si>
  <si>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</si>
  <si>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</si>
  <si>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</si>
  <si>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</si>
  <si>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</si>
  <si>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</si>
  <si>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</si>
  <si>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</si>
  <si>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</si>
  <si>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</si>
  <si>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</si>
  <si>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</si>
  <si>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</si>
  <si>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</si>
  <si>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</si>
  <si>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</si>
  <si>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</si>
  <si>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</si>
  <si>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</si>
  <si>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</si>
  <si>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</si>
  <si>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</si>
  <si>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</si>
  <si>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</si>
  <si>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</si>
  <si>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</si>
  <si>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</si>
  <si>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</si>
  <si>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</si>
  <si>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</si>
  <si>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</si>
  <si>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</si>
  <si>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</si>
  <si>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</si>
  <si>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</si>
  <si>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</si>
  <si>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</si>
  <si>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</si>
  <si>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</si>
  <si>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</si>
  <si>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</si>
  <si>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</si>
  <si>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</si>
  <si>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</si>
  <si>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</si>
  <si>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</si>
  <si>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</si>
  <si>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</si>
  <si>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</si>
  <si>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</si>
  <si>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</si>
  <si>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</si>
  <si>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</si>
  <si>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</si>
  <si>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</si>
  <si>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</si>
  <si>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</si>
  <si>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</si>
  <si>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</si>
  <si>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</si>
  <si>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</si>
  <si>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</si>
  <si>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</si>
  <si>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</si>
  <si>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</si>
  <si>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</si>
  <si>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</si>
  <si>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</si>
  <si>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</si>
  <si>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</si>
  <si>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</si>
  <si>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</si>
  <si>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</si>
  <si>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</si>
  <si>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</si>
  <si>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</si>
  <si>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</si>
  <si>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</si>
  <si>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</si>
  <si>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</si>
  <si>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</si>
  <si>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</si>
  <si>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</si>
  <si>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</si>
  <si>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</si>
  <si>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</si>
  <si>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</si>
  <si>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</si>
  <si>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</si>
  <si>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</si>
  <si>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</si>
  <si>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</si>
  <si>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</si>
  <si>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</si>
  <si>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</si>
  <si>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</si>
  <si>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</si>
  <si>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</si>
  <si>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</si>
  <si>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</si>
  <si>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</si>
  <si>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</si>
  <si>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</si>
  <si>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</si>
  <si>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</si>
  <si>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</si>
  <si>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</si>
  <si>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</si>
  <si>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</si>
  <si>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</si>
  <si>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</si>
  <si>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</si>
  <si>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</si>
  <si>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</si>
  <si>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</si>
  <si>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</si>
  <si>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</si>
  <si>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</si>
  <si>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</si>
  <si>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</si>
  <si>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</si>
  <si>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</si>
  <si>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</si>
  <si>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</si>
  <si>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</si>
  <si>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</si>
  <si>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</si>
  <si>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</si>
  <si>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</si>
  <si>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</si>
  <si>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</si>
  <si>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</si>
  <si>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</si>
  <si>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</si>
  <si>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</si>
  <si>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</si>
  <si>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</si>
  <si>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</si>
  <si>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</si>
  <si>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</si>
  <si>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</si>
  <si>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</si>
  <si>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</si>
  <si>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</si>
  <si>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</si>
  <si>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</si>
  <si>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</si>
  <si>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</si>
  <si>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</si>
  <si>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</si>
  <si>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</si>
  <si>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</si>
  <si>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</si>
  <si>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</si>
  <si>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</si>
  <si>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</si>
  <si>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</si>
  <si>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</si>
  <si>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</si>
  <si>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</si>
  <si>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</si>
  <si>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</si>
  <si>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</si>
  <si>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</si>
  <si>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</si>
  <si>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</si>
  <si>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</si>
  <si>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</si>
  <si>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</si>
  <si>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</si>
  <si>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</si>
  <si>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</si>
  <si>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</si>
  <si>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</si>
  <si>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</si>
  <si>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</si>
  <si>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</si>
  <si>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</si>
  <si>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</si>
  <si>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</si>
  <si>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</si>
  <si>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</si>
  <si>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</si>
  <si>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</si>
  <si>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</si>
  <si>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</si>
  <si>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</si>
  <si>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</si>
  <si>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</si>
  <si>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</si>
  <si>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</si>
  <si>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</si>
  <si>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</si>
  <si>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</si>
  <si>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</si>
  <si>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</si>
  <si>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</si>
  <si>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</si>
  <si>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</si>
  <si>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</si>
  <si>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</si>
  <si>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</si>
  <si>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</si>
  <si>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</si>
  <si>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</si>
  <si>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</si>
  <si>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</si>
  <si>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</si>
  <si>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</si>
  <si>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</si>
  <si>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</si>
  <si>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</si>
  <si>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</si>
  <si>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</si>
  <si>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</si>
  <si>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</si>
  <si>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</si>
  <si>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</si>
  <si>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</si>
  <si>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</si>
  <si>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</si>
  <si>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</si>
  <si>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</si>
  <si>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</si>
  <si>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</si>
  <si>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</si>
  <si>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</si>
  <si>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</si>
  <si>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</si>
  <si>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</si>
  <si>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</si>
  <si>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</si>
  <si>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</si>
  <si>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</si>
  <si>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</si>
  <si>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</si>
  <si>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</si>
  <si>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</si>
  <si>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</si>
  <si>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</si>
  <si>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</si>
  <si>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</si>
  <si>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</si>
  <si>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</si>
  <si>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</si>
  <si>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</si>
  <si>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</si>
  <si>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</si>
  <si>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</si>
  <si>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</si>
  <si>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</si>
  <si>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</si>
  <si>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</si>
  <si>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</si>
  <si>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</si>
  <si>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</si>
  <si>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</si>
  <si>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</si>
  <si>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</si>
  <si>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</si>
  <si>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</si>
  <si>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</si>
  <si>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</si>
  <si>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</si>
  <si>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</si>
  <si>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</si>
  <si>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</si>
  <si>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</si>
  <si>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</si>
  <si>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</si>
  <si>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</si>
  <si>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</si>
  <si>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</si>
  <si>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</si>
  <si>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</si>
  <si>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</si>
  <si>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</si>
  <si>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</si>
  <si>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</si>
  <si>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</si>
  <si>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</si>
  <si>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</si>
  <si>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</si>
  <si>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</si>
  <si>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</si>
  <si>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</si>
  <si>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</si>
  <si>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</si>
  <si>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</si>
  <si>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</si>
  <si>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</si>
  <si>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</si>
  <si>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</si>
  <si>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</si>
  <si>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</si>
  <si>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</si>
  <si>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</si>
  <si>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</si>
  <si>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</si>
  <si>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</si>
  <si>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</si>
  <si>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</si>
  <si>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</si>
  <si>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</si>
  <si>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</si>
  <si>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</si>
  <si>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</si>
  <si>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</si>
  <si>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</si>
  <si>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</si>
  <si>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</si>
  <si>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</si>
  <si>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</si>
  <si>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</si>
  <si>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</si>
  <si>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</si>
  <si>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</si>
  <si>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</si>
  <si>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</si>
  <si>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</si>
  <si>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</si>
  <si>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</si>
  <si>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</si>
  <si>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</si>
  <si>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</si>
  <si>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</si>
  <si>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</si>
  <si>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</si>
  <si>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</si>
  <si>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</si>
  <si>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</si>
  <si>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</si>
  <si>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</si>
  <si>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</si>
  <si>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</si>
  <si>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</si>
  <si>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</si>
  <si>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</si>
  <si>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</si>
  <si>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</si>
  <si>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</si>
  <si>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</si>
  <si>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</si>
  <si>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</si>
  <si>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</si>
  <si>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</si>
  <si>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</si>
  <si>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</si>
  <si>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</si>
  <si>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</si>
  <si>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</si>
  <si>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</si>
  <si>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</si>
  <si>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</si>
  <si>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</si>
  <si>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</si>
  <si>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</si>
  <si>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</si>
  <si>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</si>
  <si>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</si>
  <si>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</si>
  <si>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</si>
  <si>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</si>
  <si>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</si>
  <si>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</si>
  <si>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</si>
  <si>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</si>
  <si>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</si>
  <si>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</si>
  <si>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</si>
  <si>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</si>
  <si>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</si>
  <si>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</si>
  <si>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</si>
  <si>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</si>
  <si>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</si>
  <si>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</si>
  <si>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</si>
  <si>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</si>
  <si>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</si>
  <si>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</si>
  <si>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</si>
  <si>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</si>
  <si>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</si>
  <si>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</si>
  <si>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</si>
  <si>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</si>
  <si>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</si>
  <si>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</si>
  <si>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</si>
  <si>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</si>
  <si>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</si>
  <si>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</si>
  <si>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</si>
  <si>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</si>
  <si>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</si>
  <si>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</si>
  <si>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</si>
  <si>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</si>
  <si>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</si>
  <si>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</si>
  <si>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</si>
  <si>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</si>
  <si>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</si>
  <si>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</si>
  <si>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</si>
  <si>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</si>
  <si>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</si>
  <si>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</si>
  <si>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</si>
  <si>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</si>
  <si>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</si>
  <si>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</si>
  <si>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</si>
  <si>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</si>
  <si>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</si>
  <si>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</si>
  <si>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</si>
  <si>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</si>
  <si>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</si>
  <si>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</si>
  <si>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</si>
  <si>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</si>
  <si>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</si>
  <si>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</si>
  <si>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</si>
  <si>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</si>
  <si>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</si>
  <si>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</si>
  <si>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</si>
  <si>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</si>
  <si>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</si>
  <si>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</si>
  <si>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</si>
  <si>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</si>
  <si>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</si>
  <si>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</si>
  <si>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</si>
  <si>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</si>
  <si>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</si>
  <si>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</si>
  <si>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</si>
  <si>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</si>
  <si>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</si>
  <si>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</si>
  <si>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</si>
  <si>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</si>
  <si>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</si>
  <si>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</si>
  <si>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</si>
  <si>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</si>
  <si>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</si>
  <si>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</si>
  <si>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</si>
  <si>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</si>
  <si>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</si>
  <si>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</si>
  <si>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</si>
  <si>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</si>
  <si>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</si>
  <si>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</si>
  <si>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</si>
  <si>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</si>
  <si>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</si>
  <si>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</si>
  <si>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</si>
  <si>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</si>
  <si>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</si>
  <si>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</si>
  <si>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</si>
  <si>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</si>
  <si>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</si>
  <si>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</si>
  <si>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</si>
  <si>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</si>
  <si>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</si>
  <si>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</si>
  <si>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</si>
  <si>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</si>
  <si>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</si>
  <si>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</si>
  <si>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</si>
  <si>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</si>
  <si>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</si>
  <si>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</si>
  <si>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</si>
  <si>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</si>
  <si>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</si>
  <si>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</si>
  <si>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</si>
  <si>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</si>
  <si>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</si>
  <si>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</si>
  <si>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</si>
  <si>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</si>
  <si>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</si>
  <si>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</si>
  <si>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</si>
  <si>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</si>
  <si>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</si>
  <si>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</si>
  <si>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</si>
  <si>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</si>
  <si>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</si>
  <si>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</si>
  <si>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</si>
  <si>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</si>
  <si>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</si>
  <si>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</si>
  <si>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</si>
  <si>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</si>
  <si>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</si>
  <si>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</si>
  <si>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</si>
  <si>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</si>
  <si>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</si>
  <si>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</si>
  <si>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</si>
  <si>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</si>
  <si>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</si>
  <si>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</si>
  <si>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</si>
  <si>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</si>
  <si>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</si>
  <si>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</si>
  <si>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</si>
  <si>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</si>
  <si>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</si>
  <si>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</si>
  <si>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</si>
  <si>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</si>
  <si>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</si>
  <si>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</si>
  <si>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</si>
  <si>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</si>
  <si>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</si>
  <si>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</si>
  <si>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</si>
  <si>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</si>
  <si>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</si>
  <si>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</si>
  <si>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</si>
  <si>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</si>
  <si>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</si>
  <si>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</si>
  <si>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</si>
  <si>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</si>
  <si>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</si>
  <si>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</si>
  <si>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</si>
  <si>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</si>
  <si>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</si>
  <si>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</si>
  <si>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</si>
  <si>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</si>
  <si>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</si>
  <si>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</si>
  <si>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</si>
  <si>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</si>
  <si>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</si>
  <si>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</si>
  <si>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</si>
  <si>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</si>
  <si>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</si>
  <si>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</si>
  <si>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</si>
  <si>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</si>
  <si>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</si>
  <si>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</si>
  <si>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</si>
  <si>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</si>
  <si>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</si>
  <si>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</si>
  <si>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</si>
  <si>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</si>
  <si>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</si>
  <si>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</si>
  <si>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</si>
  <si>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</si>
  <si>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</si>
  <si>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</si>
  <si>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</si>
  <si>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</si>
  <si>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</si>
  <si>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</si>
  <si>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</si>
  <si>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</si>
  <si>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</si>
  <si>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</si>
  <si>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</si>
  <si>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</si>
  <si>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</si>
  <si>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</si>
  <si>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</si>
  <si>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</si>
  <si>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</si>
  <si>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</si>
  <si>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</si>
  <si>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</si>
  <si>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</si>
  <si>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</si>
  <si>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</si>
  <si>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</si>
  <si>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</si>
  <si>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</si>
  <si>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</si>
  <si>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</si>
  <si>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</si>
  <si>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</si>
  <si>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</si>
  <si>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</si>
  <si>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</si>
  <si>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</si>
  <si>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</si>
  <si>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</si>
  <si>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</si>
  <si>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</si>
  <si>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</si>
  <si>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</si>
  <si>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</si>
  <si>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</si>
  <si>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</si>
  <si>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</si>
  <si>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</si>
  <si>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</si>
  <si>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</si>
  <si>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</si>
  <si>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</si>
  <si>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</si>
  <si>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</si>
  <si>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</si>
  <si>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</si>
  <si>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</si>
  <si>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</si>
  <si>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</si>
  <si>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</si>
  <si>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</si>
  <si>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</si>
  <si>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</si>
  <si>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</si>
  <si>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</si>
  <si>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</si>
  <si>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</si>
  <si>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</si>
  <si>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</si>
  <si>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</si>
  <si>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</si>
  <si>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</si>
  <si>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</si>
  <si>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</si>
  <si>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</si>
  <si>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</si>
  <si>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</si>
  <si>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</si>
  <si>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</si>
  <si>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</si>
  <si>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</si>
  <si>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</si>
  <si>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</si>
  <si>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</si>
  <si>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</si>
  <si>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</si>
  <si>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</si>
  <si>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</si>
  <si>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</si>
  <si>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</si>
  <si>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</si>
  <si>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</si>
  <si>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</si>
  <si>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</si>
  <si>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</si>
  <si>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</si>
  <si>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</si>
  <si>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</si>
  <si>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</si>
  <si>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</si>
  <si>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</si>
  <si>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</si>
  <si>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</si>
  <si>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</si>
  <si>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</si>
  <si>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</si>
  <si>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</si>
  <si>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</si>
  <si>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</si>
  <si>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</si>
  <si>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</si>
  <si>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</si>
  <si>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</si>
  <si>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</si>
  <si>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</si>
  <si>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</si>
  <si>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</si>
  <si>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</si>
  <si>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</si>
  <si>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</si>
  <si>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</si>
  <si>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</si>
  <si>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</si>
  <si>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</si>
  <si>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</si>
  <si>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</si>
  <si>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</si>
  <si>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</si>
  <si>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</si>
  <si>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</si>
  <si>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</si>
  <si>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</si>
  <si>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</si>
  <si>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</si>
  <si>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</si>
  <si>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</si>
  <si>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</si>
  <si>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</si>
  <si>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</si>
  <si>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</si>
  <si>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</si>
  <si>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</si>
  <si>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</si>
  <si>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</si>
  <si>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</si>
  <si>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</si>
  <si>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</si>
  <si>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</si>
  <si>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</si>
  <si>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</si>
  <si>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</si>
  <si>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</si>
  <si>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</si>
  <si>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</si>
  <si>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</si>
  <si>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</si>
  <si>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</si>
  <si>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</si>
  <si>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</si>
  <si>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</si>
  <si>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</si>
  <si>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</si>
  <si>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</si>
  <si>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</si>
  <si>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</si>
  <si>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</si>
  <si>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</si>
  <si>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</si>
  <si>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</si>
  <si>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</si>
  <si>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</si>
  <si>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</si>
  <si>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</si>
  <si>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</si>
  <si>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</si>
  <si>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</si>
  <si>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</si>
  <si>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</si>
  <si>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</si>
  <si>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</si>
  <si>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</si>
  <si>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</si>
  <si>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</si>
  <si>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</si>
  <si>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</si>
  <si>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</si>
  <si>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</si>
  <si>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</si>
  <si>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</si>
  <si>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</si>
  <si>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</si>
  <si>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</si>
  <si>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</si>
  <si>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</si>
  <si>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</si>
  <si>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</si>
  <si>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</si>
  <si>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</si>
  <si>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</si>
  <si>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</si>
  <si>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</si>
  <si>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</si>
  <si>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</si>
  <si>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</si>
  <si>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</si>
  <si>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</si>
  <si>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</si>
  <si>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</si>
  <si>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</si>
  <si>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</si>
  <si>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</si>
  <si>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</si>
  <si>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</si>
  <si>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</si>
  <si>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</si>
  <si>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</si>
  <si>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</si>
  <si>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</si>
  <si>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</si>
  <si>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</si>
  <si>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</si>
  <si>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</si>
  <si>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</si>
  <si>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</si>
  <si>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</si>
  <si>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</si>
  <si>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</si>
  <si>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</si>
  <si>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</si>
  <si>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</si>
  <si>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</si>
  <si>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</si>
  <si>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</si>
  <si>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</si>
  <si>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</si>
  <si>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</si>
  <si>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</si>
  <si>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</si>
  <si>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</si>
  <si>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</si>
  <si>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</si>
  <si>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</si>
  <si>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</si>
  <si>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</si>
  <si>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</si>
  <si>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</si>
  <si>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</si>
  <si>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</si>
  <si>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</si>
  <si>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</si>
  <si>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</si>
  <si>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</si>
  <si>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</si>
  <si>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</si>
  <si>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</si>
  <si>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</si>
  <si>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</si>
  <si>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</si>
  <si>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</si>
  <si>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</si>
  <si>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</si>
  <si>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</si>
  <si>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</si>
  <si>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</si>
  <si>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</si>
  <si>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</si>
  <si>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</si>
  <si>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</si>
  <si>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</si>
  <si>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</si>
  <si>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</si>
  <si>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</si>
  <si>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</si>
  <si>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</si>
  <si>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</si>
  <si>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</si>
  <si>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</si>
  <si>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</si>
  <si>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</si>
  <si>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</si>
  <si>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</si>
  <si>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</si>
  <si>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</si>
  <si>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</si>
  <si>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</si>
  <si>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</si>
  <si>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</si>
  <si>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</si>
  <si>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</si>
  <si>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</si>
  <si>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</si>
  <si>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</si>
  <si>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</si>
  <si>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</si>
  <si>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</si>
  <si>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</si>
  <si>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</si>
  <si>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</si>
  <si>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</si>
  <si>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</si>
  <si>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</si>
  <si>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</si>
  <si>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</si>
  <si>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</si>
  <si>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</si>
  <si>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</si>
  <si>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</si>
  <si>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</si>
  <si>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</si>
  <si>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</si>
  <si>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</si>
  <si>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</si>
  <si>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</si>
  <si>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</si>
  <si>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</si>
  <si>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</si>
  <si>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</si>
  <si>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</si>
  <si>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</si>
  <si>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</si>
  <si>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</si>
  <si>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</si>
  <si>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</si>
  <si>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</si>
  <si>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</si>
  <si>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</si>
  <si>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</si>
  <si>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</si>
  <si>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</si>
  <si>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</si>
  <si>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</si>
  <si>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</si>
  <si>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</si>
  <si>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</si>
  <si>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</si>
  <si>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</si>
  <si>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</si>
  <si>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</si>
  <si>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</si>
  <si>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</si>
  <si>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</si>
  <si>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</si>
  <si>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</si>
  <si>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</si>
  <si>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</si>
  <si>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</si>
  <si>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</si>
  <si>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</si>
  <si>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</si>
  <si>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</si>
  <si>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</si>
  <si>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</si>
  <si>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</si>
  <si>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</si>
  <si>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</si>
  <si>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</si>
  <si>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</si>
  <si>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</si>
  <si>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</si>
  <si>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</si>
  <si>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</si>
  <si>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</si>
  <si>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</si>
  <si>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</si>
  <si>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</si>
  <si>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</si>
  <si>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</si>
  <si>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</si>
  <si>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</si>
  <si>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</si>
  <si>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</si>
  <si>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</si>
  <si>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</si>
  <si>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</si>
  <si>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</si>
  <si>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</si>
  <si>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</si>
  <si>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</si>
  <si>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</si>
  <si>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</si>
  <si>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</si>
  <si>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</si>
  <si>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</si>
  <si>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</si>
  <si>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</si>
  <si>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</si>
  <si>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</si>
  <si>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</si>
  <si>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</si>
  <si>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</si>
  <si>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</si>
  <si>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</si>
  <si>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</si>
  <si>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</si>
  <si>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</si>
  <si>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</si>
  <si>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</si>
  <si>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</si>
  <si>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</si>
  <si>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</si>
  <si>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</si>
  <si>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</si>
  <si>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</si>
  <si>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</si>
  <si>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</si>
  <si>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</si>
  <si>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</si>
  <si>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</si>
  <si>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</si>
  <si>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</si>
  <si>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</si>
  <si>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</si>
  <si>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</si>
  <si>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</si>
  <si>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</si>
  <si>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</si>
  <si>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</si>
  <si>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</si>
  <si>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</si>
  <si>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</si>
  <si>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</si>
  <si>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</si>
  <si>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</si>
  <si>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</si>
  <si>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</si>
  <si>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</si>
  <si>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</si>
  <si>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</si>
  <si>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</si>
  <si>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</si>
  <si>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</si>
  <si>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</si>
  <si>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</si>
  <si>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</si>
  <si>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</si>
  <si>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</si>
  <si>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</si>
  <si>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</si>
  <si>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</si>
  <si>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</si>
  <si>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</si>
  <si>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</si>
  <si>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</si>
  <si>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</si>
  <si>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</si>
  <si>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</si>
  <si>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</si>
  <si>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</si>
  <si>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</si>
  <si>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</si>
  <si>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</si>
  <si>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</si>
  <si>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</si>
  <si>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</si>
  <si>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</si>
  <si>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</si>
  <si>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</si>
  <si>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</si>
  <si>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</si>
  <si>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</si>
  <si>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</si>
  <si>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</si>
  <si>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</si>
  <si>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</si>
  <si>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</si>
  <si>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</si>
  <si>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</si>
  <si>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</si>
  <si>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</si>
  <si>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</si>
  <si>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</si>
  <si>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</si>
  <si>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</si>
  <si>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</si>
  <si>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</si>
  <si>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</si>
  <si>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</si>
  <si>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</si>
  <si>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</si>
  <si>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</si>
  <si>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</si>
  <si>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</si>
  <si>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</si>
  <si>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</si>
  <si>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</si>
  <si>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</si>
  <si>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</si>
  <si>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</si>
  <si>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</si>
  <si>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</si>
  <si>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</si>
  <si>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</si>
  <si>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</si>
  <si>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</si>
  <si>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</si>
  <si>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</si>
  <si>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</si>
  <si>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</si>
  <si>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</si>
  <si>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</si>
  <si>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</si>
  <si>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</si>
  <si>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</si>
  <si>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</si>
  <si>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</si>
  <si>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</si>
  <si>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</si>
  <si>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</si>
  <si>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</si>
  <si>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</si>
  <si>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</si>
  <si>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</si>
  <si>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</si>
  <si>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</si>
  <si>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</si>
  <si>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</si>
  <si>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</si>
  <si>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</si>
  <si>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</si>
  <si>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</si>
  <si>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</si>
  <si>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</si>
  <si>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</si>
  <si>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</si>
  <si>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</si>
  <si>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</si>
  <si>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</si>
  <si>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</si>
  <si>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</si>
  <si>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</si>
  <si>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</si>
  <si>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</si>
  <si>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</si>
  <si>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</si>
  <si>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</si>
  <si>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</si>
  <si>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</si>
  <si>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</si>
  <si>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</si>
  <si>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</si>
  <si>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</si>
  <si>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</si>
  <si>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</si>
  <si>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</si>
  <si>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</si>
  <si>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</si>
  <si>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</si>
  <si>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</si>
  <si>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</si>
  <si>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</si>
  <si>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</si>
  <si>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</si>
  <si>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</si>
  <si>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</si>
  <si>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</si>
  <si>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</si>
  <si>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</si>
  <si>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</si>
  <si>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</si>
  <si>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</si>
  <si>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</si>
  <si>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</si>
  <si>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</si>
  <si>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</si>
  <si>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</si>
  <si>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</si>
  <si>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</si>
  <si>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</si>
  <si>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</si>
  <si>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</si>
  <si>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</si>
  <si>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</si>
  <si>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</si>
  <si>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</si>
  <si>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</si>
  <si>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</si>
  <si>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</si>
  <si>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</si>
  <si>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</si>
  <si>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</si>
  <si>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</si>
  <si>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</si>
  <si>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</si>
  <si>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</si>
  <si>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</si>
  <si>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</si>
  <si>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</si>
  <si>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</si>
  <si>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</si>
  <si>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</si>
  <si>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</si>
  <si>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</si>
  <si>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</si>
  <si>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</si>
  <si>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</si>
  <si>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</si>
  <si>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</si>
  <si>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</si>
  <si>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</si>
  <si>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</si>
  <si>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</si>
  <si>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</si>
  <si>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</si>
  <si>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</si>
  <si>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</si>
  <si>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</si>
  <si>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</si>
  <si>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</si>
  <si>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</si>
  <si>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</si>
  <si>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</si>
  <si>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</si>
  <si>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</si>
  <si>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</si>
  <si>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</si>
  <si>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</si>
  <si>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</si>
  <si>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</si>
  <si>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</si>
  <si>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</si>
  <si>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</si>
  <si>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</si>
  <si>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</si>
  <si>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</si>
  <si>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</si>
  <si>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</si>
  <si>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</si>
  <si>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</si>
  <si>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</si>
  <si>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</si>
  <si>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</si>
  <si>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</si>
  <si>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</si>
  <si>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</si>
  <si>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</si>
  <si>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</si>
  <si>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</si>
  <si>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</si>
  <si>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</si>
  <si>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</si>
  <si>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</si>
  <si>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</si>
  <si>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</si>
  <si>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</si>
  <si>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</si>
  <si>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</si>
  <si>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</si>
  <si>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</si>
  <si>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</si>
  <si>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</si>
  <si>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</si>
  <si>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</si>
  <si>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</si>
  <si>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</si>
  <si>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</si>
  <si>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</si>
  <si>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</si>
  <si>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</si>
  <si>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</si>
  <si>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</si>
  <si>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</si>
  <si>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</si>
  <si>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</si>
  <si>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</si>
  <si>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</si>
  <si>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</si>
  <si>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</si>
  <si>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</si>
  <si>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</si>
  <si>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</si>
  <si>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</si>
  <si>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</si>
  <si>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</si>
  <si>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</si>
  <si>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</si>
  <si>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</si>
  <si>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</si>
  <si>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</si>
  <si>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</si>
  <si>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</si>
  <si>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</si>
  <si>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</si>
  <si>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</si>
  <si>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</si>
  <si>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</si>
  <si>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</si>
  <si>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</si>
  <si>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</si>
  <si>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</si>
  <si>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</si>
  <si>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</si>
  <si>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</si>
  <si>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</si>
  <si>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</si>
  <si>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</si>
  <si>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</si>
  <si>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</si>
  <si>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</si>
  <si>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</si>
  <si>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</si>
  <si>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</si>
  <si>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</si>
  <si>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</si>
  <si>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</si>
  <si>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</si>
  <si>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</si>
  <si>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</si>
  <si>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</si>
  <si>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</si>
  <si>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</si>
  <si>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</si>
  <si>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</si>
  <si>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</si>
  <si>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</si>
  <si>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</si>
  <si>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</si>
  <si>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</si>
  <si>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</si>
  <si>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</si>
  <si>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</si>
  <si>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</si>
  <si>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</si>
  <si>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</si>
  <si>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</si>
  <si>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</si>
  <si>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</si>
  <si>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</si>
  <si>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</si>
  <si>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</si>
  <si>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</si>
  <si>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</si>
  <si>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</si>
  <si>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</si>
  <si>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</si>
  <si>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</si>
  <si>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</si>
  <si>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</si>
  <si>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</si>
  <si>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</si>
  <si>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</si>
  <si>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</si>
  <si>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</si>
  <si>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</si>
  <si>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</si>
  <si>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</si>
  <si>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</si>
  <si>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</si>
  <si>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</si>
  <si>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</si>
  <si>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</si>
  <si>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</si>
  <si>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</si>
  <si>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</si>
  <si>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</si>
  <si>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</si>
  <si>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</si>
  <si>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</si>
  <si>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</si>
  <si>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</si>
  <si>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</si>
  <si>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</si>
  <si>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</si>
  <si>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</si>
  <si>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</si>
  <si>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</si>
  <si>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</si>
  <si>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</si>
  <si>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</si>
  <si>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</si>
  <si>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</si>
  <si>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</si>
  <si>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</si>
  <si>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</si>
  <si>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</si>
  <si>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</si>
  <si>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</si>
  <si>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</si>
  <si>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</si>
  <si>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</si>
  <si>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</si>
  <si>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</si>
  <si>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</si>
  <si>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</si>
  <si>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</si>
  <si>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</si>
  <si>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</si>
  <si>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</si>
  <si>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</si>
  <si>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</si>
  <si>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</si>
  <si>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</si>
  <si>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</si>
  <si>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</si>
  <si>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</si>
  <si>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</si>
  <si>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</si>
  <si>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</si>
  <si>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</si>
  <si>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</si>
  <si>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</si>
  <si>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</si>
  <si>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</si>
  <si>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</si>
  <si>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</si>
  <si>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</si>
  <si>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</si>
  <si>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</si>
  <si>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</si>
  <si>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</si>
  <si>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</si>
  <si>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</si>
  <si>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</si>
  <si>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</si>
  <si>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</si>
  <si>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</si>
  <si>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</si>
  <si>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</si>
  <si>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</si>
  <si>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</si>
  <si>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</si>
  <si>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</si>
  <si>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</si>
  <si>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</si>
  <si>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</si>
  <si>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</si>
  <si>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</si>
  <si>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</si>
  <si>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</si>
  <si>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</si>
  <si>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</si>
  <si>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</si>
  <si>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</si>
  <si>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</si>
  <si>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</si>
  <si>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</si>
  <si>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</si>
  <si>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</si>
  <si>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</si>
  <si>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</si>
  <si>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</si>
  <si>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</si>
  <si>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</si>
  <si>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</si>
  <si>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</si>
  <si>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</si>
  <si>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</si>
  <si>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</si>
  <si>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</si>
  <si>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</si>
  <si>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</si>
  <si>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</si>
  <si>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</si>
  <si>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</si>
  <si>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</si>
  <si>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</si>
  <si>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</si>
  <si>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</si>
  <si>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</si>
  <si>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</si>
  <si>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</si>
  <si>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</si>
  <si>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</si>
  <si>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</si>
  <si>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</si>
  <si>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</si>
  <si>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</si>
  <si>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</si>
  <si>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</si>
  <si>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</si>
  <si>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</si>
  <si>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</si>
  <si>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</si>
  <si>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</si>
  <si>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</si>
  <si>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</si>
  <si>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</si>
  <si>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</si>
  <si>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</si>
  <si>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</si>
  <si>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</si>
  <si>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</si>
  <si>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</si>
  <si>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</si>
  <si>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</si>
  <si>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</si>
  <si>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</si>
  <si>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</si>
  <si>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</si>
  <si>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</si>
  <si>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</si>
  <si>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</si>
  <si>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</si>
  <si>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</si>
  <si>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</si>
  <si>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</si>
  <si>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</si>
  <si>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</si>
  <si>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</si>
  <si>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</si>
  <si>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</si>
  <si>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</si>
  <si>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</si>
  <si>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</si>
  <si>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</si>
  <si>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</si>
  <si>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</si>
  <si>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</si>
  <si>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</si>
  <si>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</si>
  <si>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</si>
  <si>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</si>
  <si>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</si>
  <si>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</si>
  <si>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</si>
  <si>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</si>
  <si>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</si>
  <si>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</si>
  <si>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</si>
  <si>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</si>
  <si>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</si>
  <si>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</si>
  <si>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</si>
  <si>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</si>
  <si>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</si>
  <si>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</si>
  <si>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</si>
  <si>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</si>
  <si>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</si>
  <si>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</si>
  <si>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</si>
  <si>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</si>
  <si>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</si>
  <si>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</si>
  <si>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</si>
  <si>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</si>
  <si>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</si>
  <si>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</si>
  <si>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</si>
  <si>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</si>
  <si>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</si>
  <si>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</si>
  <si>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</si>
  <si>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</si>
  <si>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</si>
  <si>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</si>
  <si>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</si>
  <si>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</si>
  <si>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</si>
  <si>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</si>
  <si>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</si>
  <si>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</si>
  <si>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</si>
  <si>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</si>
  <si>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</si>
  <si>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</si>
  <si>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</si>
  <si>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</si>
  <si>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</si>
  <si>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</si>
  <si>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</si>
  <si>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</si>
  <si>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</si>
  <si>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</si>
  <si>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</si>
  <si>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</si>
  <si>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</si>
  <si>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</si>
  <si>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</si>
  <si>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</si>
  <si>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</si>
  <si>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</si>
  <si>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</si>
  <si>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</si>
  <si>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</si>
  <si>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</si>
  <si>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</si>
  <si>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</si>
  <si>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</si>
  <si>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</si>
  <si>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</si>
  <si>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</si>
  <si>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</si>
  <si>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</si>
  <si>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</si>
  <si>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</si>
  <si>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</si>
  <si>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</si>
  <si>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</si>
  <si>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</si>
  <si>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</si>
  <si>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</si>
  <si>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</si>
  <si>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</si>
  <si>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</si>
  <si>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</si>
  <si>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</si>
  <si>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</si>
  <si>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</si>
  <si>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</si>
  <si>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</si>
  <si>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</si>
  <si>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</si>
  <si>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</si>
  <si>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</si>
  <si>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</si>
  <si>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</si>
  <si>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</si>
  <si>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</si>
  <si>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</si>
  <si>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</si>
  <si>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</si>
  <si>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</si>
  <si>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</si>
  <si>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</si>
  <si>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</si>
  <si>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</si>
  <si>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</si>
  <si>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</si>
  <si>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</si>
  <si>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</si>
  <si>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</si>
  <si>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</si>
  <si>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</si>
  <si>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</si>
  <si>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</si>
  <si>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</si>
  <si>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</si>
  <si>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</si>
  <si>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</si>
  <si>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</si>
  <si>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</si>
  <si>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</si>
  <si>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</si>
  <si>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</si>
  <si>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</si>
  <si>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</si>
  <si>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</si>
  <si>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</si>
  <si>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</si>
  <si>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</si>
  <si>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</si>
  <si>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</si>
  <si>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</si>
  <si>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</si>
  <si>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</si>
  <si>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</si>
  <si>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</si>
  <si>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</si>
  <si>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</si>
  <si>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</si>
  <si>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</si>
  <si>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</si>
  <si>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</si>
  <si>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</si>
  <si>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</si>
  <si>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</si>
  <si>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</si>
  <si>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</si>
  <si>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</si>
  <si>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</si>
  <si>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</si>
  <si>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</si>
  <si>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</si>
  <si>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</si>
  <si>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</si>
  <si>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</si>
  <si>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</si>
  <si>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</si>
  <si>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</si>
  <si>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</si>
  <si>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</si>
  <si>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</si>
  <si>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</si>
  <si>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</si>
  <si>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</si>
  <si>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</si>
  <si>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</si>
  <si>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</si>
  <si>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</si>
  <si>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</si>
  <si>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</si>
  <si>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</si>
  <si>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</si>
  <si>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</si>
  <si>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</si>
  <si>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</si>
  <si>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</si>
  <si>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</si>
  <si>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</si>
  <si>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</si>
  <si>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</si>
  <si>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</si>
  <si>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</si>
  <si>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</si>
  <si>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</si>
  <si>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</si>
  <si>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</si>
  <si>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</si>
  <si>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</si>
  <si>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</si>
  <si>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</si>
  <si>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</si>
  <si>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</si>
  <si>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</si>
  <si>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</si>
  <si>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</si>
  <si>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</si>
  <si>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</si>
  <si>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</si>
  <si>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</si>
  <si>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</si>
  <si>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</si>
  <si>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</si>
  <si>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</si>
  <si>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</si>
  <si>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</si>
  <si>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</si>
  <si>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</si>
  <si>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</si>
  <si>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</si>
  <si>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</si>
  <si>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</si>
  <si>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</si>
  <si>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</si>
  <si>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</si>
  <si>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</si>
  <si>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</si>
  <si>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</si>
  <si>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</si>
  <si>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</si>
  <si>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</si>
  <si>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</si>
  <si>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</si>
  <si>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</si>
  <si>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</si>
  <si>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</si>
  <si>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</si>
  <si>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</si>
  <si>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</si>
  <si>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</si>
  <si>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</si>
  <si>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</si>
  <si>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</si>
  <si>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</si>
  <si>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</si>
  <si>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</si>
  <si>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</si>
  <si>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</si>
  <si>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</si>
  <si>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</si>
  <si>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</si>
  <si>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</si>
  <si>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</si>
  <si>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</si>
  <si>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</si>
  <si>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</si>
  <si>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</si>
  <si>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</si>
  <si>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</si>
  <si>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</si>
  <si>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</si>
  <si>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</si>
  <si>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</si>
  <si>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</si>
  <si>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</si>
  <si>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</si>
  <si>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</si>
  <si>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</si>
  <si>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</si>
  <si>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</si>
  <si>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</si>
  <si>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</si>
  <si>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</si>
  <si>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</si>
  <si>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</si>
  <si>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</si>
  <si>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</si>
  <si>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</si>
  <si>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</si>
  <si>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</si>
  <si>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</si>
  <si>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</si>
  <si>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</si>
  <si>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</si>
  <si>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</si>
  <si>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</si>
  <si>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</si>
  <si>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</si>
  <si>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</si>
  <si>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</si>
  <si>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</si>
  <si>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</si>
  <si>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</si>
  <si>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</si>
  <si>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</si>
  <si>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</si>
  <si>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</si>
  <si>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</si>
  <si>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</si>
  <si>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</si>
  <si>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</si>
  <si>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</si>
  <si>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</si>
  <si>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</si>
  <si>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</si>
  <si>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</si>
  <si>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</si>
  <si>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</si>
  <si>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</si>
  <si>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</si>
  <si>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</si>
  <si>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</si>
  <si>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</si>
  <si>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</si>
  <si>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</si>
  <si>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</si>
  <si>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</si>
  <si>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</si>
  <si>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</si>
  <si>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</si>
  <si>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</si>
  <si>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</si>
  <si>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</si>
  <si>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</si>
  <si>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</si>
  <si>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</si>
  <si>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</si>
  <si>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</si>
  <si>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</si>
  <si>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</si>
  <si>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</si>
  <si>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</si>
  <si>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</si>
  <si>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</si>
  <si>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</si>
  <si>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</si>
  <si>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</si>
  <si>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</si>
  <si>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</si>
  <si>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</si>
  <si>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</si>
  <si>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</si>
  <si>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</si>
  <si>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</si>
  <si>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</si>
  <si>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</si>
  <si>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</si>
  <si>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</si>
  <si>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</si>
  <si>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</si>
  <si>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</si>
  <si>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</si>
  <si>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</si>
  <si>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</si>
  <si>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</si>
  <si>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</si>
  <si>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</si>
  <si>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</si>
  <si>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</si>
  <si>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</si>
  <si>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</si>
  <si>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</si>
  <si>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</si>
  <si>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</si>
  <si>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</si>
  <si>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</si>
  <si>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</si>
  <si>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</si>
  <si>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</si>
  <si>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</si>
  <si>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</si>
  <si>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</si>
  <si>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</si>
  <si>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</si>
  <si>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</si>
  <si>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</si>
  <si>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</si>
  <si>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</si>
  <si>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</si>
  <si>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</si>
  <si>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</si>
  <si>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</si>
  <si>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</si>
  <si>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</si>
  <si>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</si>
  <si>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</si>
  <si>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</si>
  <si>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</si>
  <si>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</si>
  <si>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</si>
  <si>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</si>
  <si>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</si>
  <si>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</si>
  <si>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</si>
  <si>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</si>
  <si>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</si>
  <si>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</si>
  <si>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</si>
  <si>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</si>
  <si>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</si>
  <si>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</si>
  <si>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</si>
  <si>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</si>
  <si>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</si>
  <si>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</si>
  <si>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</si>
  <si>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</si>
  <si>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</si>
  <si>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</si>
  <si>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</si>
  <si>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</si>
  <si>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</si>
  <si>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</si>
  <si>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</si>
  <si>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</si>
  <si>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</si>
  <si>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</si>
  <si>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</si>
  <si>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</si>
  <si>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</si>
  <si>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</si>
  <si>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</si>
  <si>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</si>
  <si>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</si>
  <si>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</si>
  <si>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</si>
  <si>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</si>
  <si>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</si>
  <si>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</si>
  <si>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</si>
  <si>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</si>
  <si>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</si>
  <si>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</si>
  <si>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</si>
  <si>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</si>
  <si>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</si>
  <si>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</si>
  <si>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</si>
  <si>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</si>
  <si>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</si>
  <si>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</si>
  <si>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</si>
  <si>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</si>
  <si>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</si>
  <si>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</si>
  <si>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</si>
  <si>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</si>
  <si>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</si>
  <si>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</si>
  <si>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</si>
  <si>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</si>
  <si>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</si>
  <si>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</si>
  <si>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</si>
  <si>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</si>
  <si>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</si>
  <si>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</si>
  <si>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</si>
  <si>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</si>
  <si>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</si>
  <si>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</si>
  <si>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</si>
  <si>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</si>
  <si>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</si>
  <si>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</si>
  <si>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</si>
  <si>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</si>
  <si>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</si>
  <si>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</si>
  <si>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</si>
  <si>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</si>
  <si>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</si>
  <si>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</si>
  <si>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</si>
  <si>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</si>
  <si>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</si>
  <si>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</si>
  <si>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</si>
  <si>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</si>
  <si>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</si>
  <si>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</si>
  <si>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</si>
  <si>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</si>
  <si>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</si>
  <si>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</si>
  <si>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</si>
  <si>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</si>
  <si>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</si>
  <si>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</si>
  <si>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</si>
  <si>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</si>
  <si>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</si>
  <si>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</si>
  <si>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</si>
  <si>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</si>
  <si>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</si>
  <si>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</si>
  <si>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</si>
  <si>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</si>
  <si>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</si>
  <si>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</si>
  <si>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</si>
  <si>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</si>
  <si>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</si>
  <si>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</si>
  <si>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</si>
  <si>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</si>
  <si>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</si>
  <si>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</si>
  <si>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</si>
  <si>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</si>
  <si>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</si>
  <si>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</si>
  <si>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</si>
  <si>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</si>
  <si>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</si>
  <si>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</si>
  <si>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</si>
  <si>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</si>
  <si>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</si>
  <si>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</si>
  <si>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</si>
  <si>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</si>
  <si>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</si>
  <si>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</si>
  <si>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</si>
  <si>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</si>
  <si>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</si>
  <si>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</si>
  <si>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</si>
  <si>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</si>
  <si>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</si>
  <si>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</si>
  <si>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</si>
  <si>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</si>
  <si>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</si>
  <si>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</si>
  <si>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</si>
  <si>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</si>
  <si>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</si>
  <si>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</si>
  <si>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</si>
  <si>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</si>
  <si>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</si>
  <si>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</si>
  <si>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</si>
  <si>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</si>
  <si>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</si>
  <si>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</si>
  <si>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</si>
  <si>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</si>
  <si>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</si>
  <si>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</si>
  <si>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</si>
  <si>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</si>
  <si>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</si>
  <si>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</si>
  <si>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</si>
  <si>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</si>
  <si>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</si>
  <si>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</si>
  <si>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</si>
  <si>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</si>
  <si>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</si>
  <si>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</si>
  <si>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</si>
  <si>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</si>
  <si>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</si>
  <si>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</si>
  <si>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</si>
  <si>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</si>
  <si>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</si>
  <si>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</si>
  <si>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</si>
  <si>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</si>
  <si>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</si>
  <si>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</si>
  <si>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</si>
  <si>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</si>
  <si>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</si>
  <si>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</si>
  <si>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</si>
  <si>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</si>
  <si>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</si>
  <si>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</si>
  <si>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</si>
  <si>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</si>
  <si>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</si>
  <si>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</si>
  <si>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</si>
  <si>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</si>
  <si>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</si>
  <si>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</si>
  <si>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</si>
  <si>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</si>
  <si>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</si>
  <si>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</si>
  <si>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</si>
  <si>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</si>
  <si>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</si>
  <si>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</si>
  <si>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</si>
  <si>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</si>
  <si>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</si>
  <si>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</si>
  <si>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</si>
  <si>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</si>
  <si>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</si>
  <si>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</si>
  <si>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</si>
  <si>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</si>
  <si>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</si>
  <si>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</si>
  <si>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</si>
  <si>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</si>
  <si>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</si>
  <si>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</si>
  <si>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</si>
  <si>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</si>
  <si>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</si>
  <si>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</si>
  <si>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</si>
  <si>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</si>
  <si>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</si>
  <si>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</si>
  <si>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</si>
  <si>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</si>
  <si>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</si>
  <si>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</si>
  <si>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</si>
  <si>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</si>
  <si>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</si>
  <si>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</si>
  <si>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</si>
  <si>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</si>
  <si>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</si>
  <si>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</si>
  <si>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</si>
  <si>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</si>
  <si>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</si>
  <si>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</si>
  <si>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</si>
  <si>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</si>
  <si>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</si>
  <si>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</si>
  <si>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</si>
  <si>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</si>
  <si>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</si>
  <si>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</si>
  <si>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</si>
  <si>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</si>
  <si>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</si>
  <si>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</si>
  <si>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</si>
  <si>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</si>
  <si>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</si>
  <si>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</si>
  <si>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</si>
  <si>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</si>
  <si>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</si>
  <si>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</si>
  <si>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</si>
  <si>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</si>
  <si>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</si>
  <si>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</si>
  <si>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</si>
  <si>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</si>
  <si>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</si>
  <si>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</si>
  <si>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</si>
  <si>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</si>
  <si>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</si>
  <si>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</si>
  <si>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</si>
  <si>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</si>
  <si>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</si>
  <si>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</si>
  <si>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</si>
  <si>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</si>
  <si>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</si>
  <si>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</si>
  <si>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</si>
  <si>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</si>
  <si>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</si>
  <si>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</si>
  <si>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</si>
  <si>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</si>
  <si>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</si>
  <si>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</si>
  <si>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</si>
  <si>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</si>
  <si>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</si>
  <si>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</si>
  <si>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</si>
  <si>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</si>
  <si>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</si>
  <si>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</si>
  <si>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</si>
  <si>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</si>
  <si>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</si>
  <si>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</si>
  <si>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</si>
  <si>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</si>
  <si>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</si>
  <si>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</si>
  <si>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</si>
  <si>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</si>
  <si>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</si>
  <si>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</si>
  <si>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</si>
  <si>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</si>
  <si>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</si>
  <si>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</si>
  <si>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</si>
  <si>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</si>
  <si>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</si>
  <si>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</si>
  <si>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</si>
  <si>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</si>
  <si>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</si>
  <si>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</si>
  <si>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</si>
  <si>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</si>
  <si>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</si>
  <si>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</si>
  <si>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</si>
  <si>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</si>
  <si>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</si>
  <si>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</si>
  <si>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</si>
  <si>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</si>
  <si>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</si>
  <si>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</si>
  <si>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</si>
  <si>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</si>
  <si>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</si>
  <si>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</si>
  <si>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</si>
  <si>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</si>
  <si>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</si>
  <si>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</si>
  <si>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</si>
  <si>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</si>
  <si>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</si>
  <si>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</si>
  <si>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</si>
  <si>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</si>
  <si>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</si>
  <si>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</si>
  <si>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</si>
  <si>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</si>
  <si>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</si>
  <si>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</si>
  <si>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</si>
  <si>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</si>
  <si>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</si>
  <si>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</si>
  <si>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</si>
  <si>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</si>
  <si>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</si>
  <si>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</si>
  <si>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</si>
  <si>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</si>
  <si>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</si>
  <si>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</si>
  <si>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</si>
  <si>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</si>
  <si>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</si>
  <si>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</si>
  <si>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</si>
  <si>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</si>
  <si>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</si>
  <si>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</si>
  <si>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</si>
  <si>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</si>
  <si>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</si>
  <si>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</si>
  <si>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</si>
  <si>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</si>
  <si>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</si>
  <si>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</si>
  <si>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</si>
  <si>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</si>
  <si>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</si>
  <si>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</si>
  <si>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</si>
  <si>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</si>
  <si>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</si>
  <si>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</si>
  <si>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</si>
  <si>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</si>
  <si>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</si>
  <si>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</si>
  <si>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</si>
  <si>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</si>
  <si>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</si>
  <si>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</si>
  <si>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</si>
  <si>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</si>
  <si>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</si>
  <si>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</si>
  <si>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</si>
  <si>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</si>
  <si>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</si>
  <si>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</si>
  <si>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</si>
  <si>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</si>
  <si>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</si>
  <si>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</si>
  <si>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</si>
  <si>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</si>
  <si>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</si>
  <si>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</si>
  <si>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</si>
  <si>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</si>
  <si>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</si>
  <si>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</si>
  <si>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</si>
  <si>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</si>
  <si>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</si>
  <si>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</si>
  <si>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</si>
  <si>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</si>
  <si>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</si>
  <si>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</si>
  <si>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</si>
  <si>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</si>
  <si>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</si>
  <si>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</si>
  <si>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</si>
  <si>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</si>
  <si>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</si>
  <si>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</si>
  <si>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</si>
  <si>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</si>
  <si>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</si>
  <si>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</si>
  <si>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</si>
  <si>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</si>
  <si>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</si>
  <si>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</si>
  <si>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</si>
  <si>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</si>
  <si>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</si>
  <si>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</si>
  <si>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</si>
  <si>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</si>
  <si>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</si>
  <si>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</si>
  <si>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</si>
  <si>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</si>
  <si>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</si>
  <si>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</si>
  <si>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</si>
  <si>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</si>
  <si>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</si>
  <si>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</si>
  <si>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</si>
  <si>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</si>
  <si>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</si>
  <si>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</si>
  <si>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</si>
  <si>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</si>
  <si>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</si>
  <si>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</si>
  <si>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</si>
  <si>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</si>
  <si>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</si>
  <si>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</si>
  <si>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</si>
  <si>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</si>
  <si>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</si>
  <si>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</si>
  <si>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</si>
  <si>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</si>
  <si>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</si>
  <si>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</si>
  <si>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</si>
  <si>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</si>
  <si>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</si>
  <si>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</si>
  <si>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</si>
  <si>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</si>
  <si>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</si>
  <si>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</si>
  <si>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</si>
  <si>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</si>
  <si>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</si>
  <si>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</si>
  <si>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</si>
  <si>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</si>
  <si>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</si>
  <si>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</si>
  <si>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</si>
  <si>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</si>
  <si>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</si>
  <si>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</si>
  <si>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</si>
  <si>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</si>
  <si>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</si>
  <si>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</si>
  <si>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</si>
  <si>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</si>
  <si>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</si>
  <si>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</si>
  <si>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</si>
  <si>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</si>
  <si>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</si>
  <si>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</si>
  <si>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</si>
  <si>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</si>
  <si>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</si>
  <si>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</si>
  <si>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</si>
  <si>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</si>
  <si>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</si>
  <si>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</si>
  <si>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</si>
  <si>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</si>
  <si>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</si>
  <si>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</si>
  <si>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</si>
  <si>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</si>
  <si>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</si>
  <si>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</si>
  <si>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</si>
  <si>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</si>
  <si>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</si>
  <si>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</si>
  <si>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</si>
  <si>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</si>
  <si>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</si>
  <si>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</si>
  <si>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</si>
  <si>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</si>
  <si>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</si>
  <si>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</si>
  <si>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</si>
  <si>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</si>
  <si>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</si>
  <si>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</si>
  <si>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</si>
  <si>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</si>
  <si>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</si>
  <si>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</si>
  <si>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</si>
  <si>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</si>
  <si>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</si>
  <si>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</si>
  <si>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</si>
  <si>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</si>
  <si>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</si>
  <si>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</si>
  <si>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</si>
  <si>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</si>
  <si>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</si>
  <si>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</si>
  <si>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</si>
  <si>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</si>
  <si>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</si>
  <si>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</si>
  <si>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</si>
  <si>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</si>
  <si>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</si>
  <si>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</si>
  <si>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</si>
  <si>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</si>
  <si>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</si>
  <si>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</si>
  <si>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</si>
  <si>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</si>
  <si>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</si>
  <si>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</si>
  <si>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</si>
  <si>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</si>
  <si>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</si>
  <si>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</si>
  <si>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</si>
  <si>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</si>
  <si>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</si>
  <si>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</si>
  <si>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</si>
  <si>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</si>
  <si>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</si>
  <si>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</si>
  <si>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</si>
  <si>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</si>
  <si>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</si>
  <si>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</si>
  <si>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</si>
  <si>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</si>
  <si>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</si>
  <si>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</si>
  <si>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</si>
  <si>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</si>
  <si>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</si>
  <si>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</si>
  <si>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</si>
  <si>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</si>
  <si>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</si>
  <si>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</si>
  <si>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</si>
  <si>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</si>
  <si>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</si>
  <si>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</si>
  <si>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</si>
  <si>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</si>
  <si>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</si>
  <si>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</si>
  <si>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</si>
  <si>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</si>
  <si>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</si>
  <si>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</si>
  <si>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</si>
  <si>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</si>
  <si>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</si>
  <si>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</si>
  <si>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</si>
  <si>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</si>
  <si>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</si>
  <si>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</si>
  <si>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</si>
  <si>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</si>
  <si>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</si>
  <si>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</si>
  <si>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</si>
  <si>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</si>
  <si>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</si>
  <si>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</si>
  <si>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</si>
  <si>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</si>
  <si>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</si>
  <si>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</si>
  <si>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</si>
  <si>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</si>
  <si>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</si>
  <si>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</si>
  <si>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</si>
  <si>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</si>
  <si>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</si>
  <si>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</si>
  <si>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</si>
  <si>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</si>
  <si>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</si>
  <si>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</si>
  <si>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</si>
  <si>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</si>
  <si>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</si>
  <si>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</si>
  <si>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</si>
  <si>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</si>
  <si>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</si>
  <si>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</si>
  <si>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</si>
  <si>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</si>
  <si>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</si>
  <si>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</si>
  <si>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</si>
  <si>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</si>
  <si>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</si>
  <si>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</si>
  <si>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</si>
  <si>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</si>
  <si>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</si>
  <si>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</si>
  <si>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</si>
  <si>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</si>
  <si>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</si>
  <si>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</si>
  <si>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</si>
  <si>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</si>
  <si>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</si>
  <si>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</si>
  <si>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</si>
  <si>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</si>
  <si>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</si>
  <si>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</si>
  <si>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</si>
  <si>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</si>
  <si>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</si>
  <si>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</si>
  <si>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</si>
  <si>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</si>
  <si>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</si>
  <si>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</si>
  <si>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</si>
  <si>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</si>
  <si>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</si>
  <si>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</si>
  <si>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</si>
  <si>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</si>
  <si>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</si>
  <si>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</si>
  <si>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</si>
  <si>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</si>
  <si>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</si>
  <si>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</si>
  <si>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</si>
  <si>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</si>
  <si>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</si>
  <si>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</si>
  <si>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</si>
  <si>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</si>
  <si>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</si>
  <si>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</si>
  <si>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</si>
  <si>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</si>
  <si>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</si>
  <si>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</si>
  <si>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</si>
  <si>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</si>
  <si>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</si>
  <si>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</si>
  <si>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</si>
  <si>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</si>
  <si>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</si>
  <si>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</si>
  <si>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</si>
  <si>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</si>
  <si>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</si>
  <si>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</si>
  <si>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</si>
  <si>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</si>
  <si>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</si>
  <si>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</si>
  <si>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</si>
  <si>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</si>
  <si>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</si>
  <si>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</si>
  <si>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</si>
  <si>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</si>
  <si>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</si>
  <si>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</si>
  <si>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</si>
  <si>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</si>
  <si>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</si>
  <si>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</si>
  <si>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</si>
  <si>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</si>
  <si>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</si>
  <si>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</si>
  <si>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</si>
  <si>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</si>
  <si>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</si>
  <si>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</si>
  <si>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</si>
  <si>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</si>
  <si>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</si>
  <si>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</si>
  <si>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</si>
  <si>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</si>
  <si>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</si>
  <si>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</si>
  <si>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</si>
  <si>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</si>
  <si>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</si>
  <si>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</si>
  <si>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</si>
  <si>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</si>
  <si>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</si>
  <si>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</si>
  <si>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</si>
  <si>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</si>
  <si>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</si>
  <si>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</si>
  <si>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</si>
  <si>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</si>
  <si>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</si>
  <si>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</si>
  <si>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</si>
  <si>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</si>
  <si>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</si>
  <si>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</si>
  <si>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</si>
  <si>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</si>
  <si>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</si>
  <si>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</si>
  <si>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</si>
  <si>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</si>
  <si>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</si>
  <si>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</si>
  <si>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</si>
  <si>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</si>
  <si>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</si>
  <si>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</si>
  <si>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</si>
  <si>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</si>
  <si>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</si>
  <si>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</si>
  <si>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</si>
  <si>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</si>
  <si>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</si>
  <si>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</si>
  <si>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</si>
  <si>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</si>
  <si>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</si>
  <si>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</si>
  <si>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</si>
  <si>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</si>
  <si>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</si>
  <si>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</si>
  <si>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</si>
  <si>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</si>
  <si>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</si>
  <si>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</si>
  <si>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</si>
  <si>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</si>
  <si>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</si>
  <si>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</si>
  <si>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</si>
  <si>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</si>
  <si>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</si>
  <si>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</si>
  <si>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</si>
  <si>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</si>
  <si>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</si>
  <si>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</si>
  <si>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</si>
  <si>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</si>
  <si>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</si>
  <si>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</si>
  <si>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</si>
  <si>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</si>
  <si>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</si>
  <si>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</si>
  <si>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</si>
  <si>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</si>
  <si>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</si>
  <si>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</si>
  <si>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</si>
  <si>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</si>
  <si>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</si>
  <si>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</si>
  <si>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</si>
  <si>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</si>
  <si>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</si>
  <si>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</si>
  <si>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</si>
  <si>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</si>
  <si>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</si>
  <si>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</si>
  <si>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</si>
  <si>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</si>
  <si>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</si>
  <si>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</si>
  <si>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</si>
  <si>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</si>
  <si>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</si>
  <si>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</si>
  <si>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</si>
  <si>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</si>
  <si>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</si>
  <si>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</si>
  <si>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</si>
  <si>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</si>
  <si>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</si>
  <si>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</si>
  <si>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</si>
  <si>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</si>
  <si>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</si>
  <si>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</si>
  <si>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</si>
  <si>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</si>
  <si>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</si>
  <si>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</si>
  <si>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</si>
  <si>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</si>
  <si>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</si>
  <si>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</si>
  <si>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</si>
  <si>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</si>
  <si>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</si>
  <si>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</si>
  <si>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</si>
  <si>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</si>
  <si>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</si>
  <si>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</si>
  <si>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</si>
  <si>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</si>
  <si>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</si>
  <si>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</si>
  <si>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</si>
  <si>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</si>
  <si>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</si>
  <si>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</si>
  <si>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</si>
  <si>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</si>
  <si>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</si>
  <si>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</si>
  <si>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</si>
  <si>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</si>
  <si>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</si>
  <si>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</si>
  <si>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</si>
  <si>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</si>
  <si>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</si>
  <si>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</si>
  <si>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</si>
  <si>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</si>
  <si>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</si>
  <si>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</si>
  <si>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</si>
  <si>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</si>
  <si>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</si>
  <si>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</si>
  <si>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</si>
  <si>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</si>
  <si>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</si>
  <si>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</si>
  <si>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</si>
  <si>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</si>
  <si>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</si>
  <si>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</si>
  <si>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</si>
  <si>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</si>
  <si>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</si>
  <si>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</si>
  <si>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</si>
  <si>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</si>
  <si>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</si>
  <si>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</si>
  <si>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</si>
  <si>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</si>
  <si>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</si>
  <si>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</si>
  <si>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</si>
  <si>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</si>
  <si>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</si>
  <si>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</si>
  <si>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</si>
  <si>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</si>
  <si>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</si>
  <si>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</si>
  <si>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</si>
  <si>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</si>
  <si>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</si>
  <si>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</si>
  <si>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</si>
  <si>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</si>
  <si>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</si>
  <si>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</si>
  <si>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</si>
  <si>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</si>
  <si>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</si>
  <si>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</si>
  <si>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</si>
  <si>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</si>
  <si>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</si>
  <si>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</si>
  <si>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</si>
  <si>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</si>
  <si>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</si>
  <si>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</si>
  <si>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</si>
  <si>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</si>
  <si>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</si>
  <si>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</si>
  <si>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</si>
  <si>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</si>
  <si>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</si>
  <si>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</si>
  <si>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</si>
  <si>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</si>
  <si>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</si>
  <si>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</si>
  <si>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</si>
  <si>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</si>
  <si>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</si>
  <si>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</si>
  <si>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</si>
  <si>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</si>
  <si>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</si>
  <si>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</si>
  <si>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</si>
  <si>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</si>
  <si>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</si>
  <si>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</si>
  <si>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</si>
  <si>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</si>
  <si>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</si>
  <si>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</si>
  <si>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</si>
  <si>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</si>
  <si>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</si>
  <si>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</si>
  <si>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</si>
  <si>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</si>
  <si>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</si>
  <si>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</si>
  <si>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</si>
  <si>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</si>
  <si>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</si>
  <si>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</si>
  <si>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</si>
  <si>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</si>
  <si>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</si>
  <si>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</si>
  <si>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</si>
  <si>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</si>
  <si>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</si>
  <si>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</si>
  <si>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</si>
  <si>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</si>
  <si>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</si>
  <si>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</si>
  <si>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</si>
  <si>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</si>
  <si>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</si>
  <si>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</si>
  <si>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</si>
  <si>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</si>
  <si>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</si>
  <si>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</si>
  <si>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</si>
  <si>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</si>
  <si>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</si>
  <si>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</si>
  <si>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</si>
  <si>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</si>
  <si>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</si>
  <si>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</si>
  <si>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</si>
  <si>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</si>
  <si>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</si>
  <si>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</si>
  <si>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</si>
  <si>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</si>
  <si>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</si>
  <si>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</si>
  <si>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</si>
  <si>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</si>
  <si>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</si>
  <si>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</si>
  <si>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</si>
  <si>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</si>
  <si>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</si>
  <si>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</si>
  <si>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</si>
  <si>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</si>
  <si>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</si>
  <si>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</si>
  <si>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</si>
  <si>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</si>
  <si>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</si>
  <si>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</si>
  <si>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</si>
  <si>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</si>
  <si>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</si>
  <si>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</si>
  <si>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</si>
  <si>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</si>
  <si>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</si>
  <si>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</si>
  <si>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</si>
  <si>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</si>
  <si>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</si>
  <si>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</si>
  <si>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</si>
  <si>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</si>
  <si>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</si>
  <si>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</si>
  <si>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</si>
  <si>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</si>
  <si>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</si>
  <si>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</si>
  <si>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</si>
  <si>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</si>
  <si>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</si>
  <si>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</si>
  <si>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</si>
  <si>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</si>
  <si>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</si>
  <si>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</si>
  <si>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</si>
  <si>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</si>
  <si>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</si>
  <si>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</si>
  <si>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</si>
  <si>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</si>
  <si>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</si>
  <si>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</si>
  <si>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</si>
  <si>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</si>
  <si>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</si>
  <si>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</si>
  <si>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</si>
  <si>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</si>
  <si>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</si>
  <si>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</si>
  <si>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</si>
  <si>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</si>
  <si>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</si>
  <si>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</si>
  <si>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</si>
  <si>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</si>
  <si>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</si>
  <si>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</si>
  <si>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</si>
  <si>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</si>
  <si>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</si>
  <si>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</si>
  <si>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</si>
  <si>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</si>
  <si>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</si>
  <si>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</si>
  <si>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</si>
  <si>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</si>
  <si>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</si>
  <si>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</si>
  <si>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</si>
  <si>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</si>
  <si>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</si>
  <si>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</si>
  <si>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</si>
  <si>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</si>
  <si>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</si>
  <si>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</si>
  <si>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</si>
  <si>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</si>
  <si>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</si>
  <si>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</si>
  <si>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</si>
  <si>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</si>
  <si>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</si>
  <si>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</si>
  <si>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</si>
  <si>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</si>
  <si>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</si>
  <si>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</si>
  <si>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</si>
  <si>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</si>
  <si>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</si>
  <si>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</si>
  <si>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</si>
  <si>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</si>
  <si>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</si>
  <si>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</si>
  <si>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</si>
  <si>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</si>
  <si>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</si>
  <si>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</si>
  <si>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</si>
  <si>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</si>
  <si>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</si>
  <si>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</si>
  <si>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</si>
  <si>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</si>
  <si>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</si>
  <si>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</si>
  <si>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</si>
  <si>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</si>
  <si>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</si>
  <si>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</si>
  <si>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</si>
  <si>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</si>
  <si>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</si>
  <si>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</si>
  <si>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</si>
  <si>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</si>
  <si>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</si>
  <si>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</si>
  <si>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</si>
  <si>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</si>
  <si>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</si>
  <si>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</si>
  <si>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</si>
  <si>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</si>
  <si>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</si>
  <si>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</si>
  <si>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</si>
  <si>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</si>
  <si>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</si>
  <si>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</si>
  <si>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</si>
  <si>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</si>
  <si>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</si>
  <si>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</si>
  <si>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</si>
  <si>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</si>
  <si>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</si>
  <si>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</si>
  <si>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</si>
  <si>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</si>
  <si>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</si>
  <si>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</si>
  <si>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</si>
  <si>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</si>
  <si>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</si>
  <si>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</si>
  <si>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</si>
  <si>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</si>
  <si>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</si>
  <si>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</si>
  <si>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</si>
  <si>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</si>
  <si>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</si>
  <si>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</si>
  <si>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</si>
  <si>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</si>
  <si>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</si>
  <si>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</si>
  <si>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</si>
  <si>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</si>
  <si>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</si>
  <si>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</si>
  <si>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</si>
  <si>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</si>
  <si>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</si>
  <si>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</si>
  <si>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</si>
  <si>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</si>
  <si>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</si>
  <si>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</si>
  <si>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</si>
  <si>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</si>
  <si>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</si>
  <si>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</si>
  <si>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</si>
  <si>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</si>
  <si>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</si>
  <si>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</si>
  <si>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</si>
  <si>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</si>
  <si>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</si>
  <si>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</si>
  <si>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</si>
  <si>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</si>
  <si>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</si>
  <si>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</si>
  <si>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</si>
  <si>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</si>
  <si>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</si>
  <si>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</si>
  <si>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</si>
  <si>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</si>
  <si>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</si>
  <si>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</si>
  <si>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</si>
  <si>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</si>
  <si>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</si>
  <si>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</si>
  <si>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</si>
  <si>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</si>
  <si>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</si>
  <si>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</si>
  <si>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</si>
  <si>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</si>
  <si>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</si>
  <si>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</si>
  <si>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</si>
  <si>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</si>
  <si>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</si>
  <si>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</si>
  <si>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</si>
  <si>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</si>
  <si>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</si>
  <si>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</si>
  <si>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</si>
  <si>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</si>
  <si>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</si>
  <si>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</si>
  <si>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</si>
  <si>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</si>
  <si>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</si>
  <si>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</si>
  <si>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</si>
  <si>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</si>
  <si>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</si>
  <si>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</si>
  <si>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</si>
  <si>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</si>
  <si>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</si>
  <si>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</si>
  <si>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</si>
  <si>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</si>
  <si>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</si>
  <si>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</si>
  <si>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</si>
  <si>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</si>
  <si>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</si>
  <si>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</si>
  <si>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</si>
  <si>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</si>
  <si>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</si>
  <si>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</si>
  <si>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</si>
  <si>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</si>
  <si>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</si>
  <si>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</si>
  <si>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</si>
  <si>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</si>
  <si>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</si>
  <si>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</si>
  <si>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</si>
  <si>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</si>
  <si>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</si>
  <si>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</si>
  <si>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</si>
  <si>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</si>
  <si>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</si>
  <si>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</si>
  <si>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</si>
  <si>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</si>
  <si>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</si>
  <si>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</si>
  <si>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</si>
  <si>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</si>
  <si>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</si>
  <si>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</si>
  <si>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</si>
  <si>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</si>
  <si>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</si>
  <si>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</si>
  <si>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</si>
  <si>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</si>
  <si>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</si>
  <si>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</si>
  <si>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</si>
  <si>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</si>
  <si>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</si>
  <si>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</si>
  <si>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</si>
  <si>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</si>
  <si>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</si>
  <si>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</si>
  <si>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</si>
  <si>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</si>
  <si>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</si>
  <si>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</si>
  <si>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</si>
  <si>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</si>
  <si>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</si>
  <si>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</si>
  <si>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</si>
  <si>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</si>
  <si>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</si>
  <si>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</si>
  <si>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</si>
  <si>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</si>
  <si>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</si>
  <si>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</si>
  <si>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</si>
  <si>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</si>
  <si>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</si>
  <si>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</si>
  <si>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</si>
  <si>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</si>
  <si>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</si>
  <si>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</si>
  <si>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</si>
  <si>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</si>
  <si>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</si>
  <si>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</si>
  <si>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</si>
  <si>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</si>
  <si>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</si>
  <si>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</si>
  <si>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</si>
  <si>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</si>
  <si>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</si>
  <si>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</si>
  <si>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</si>
  <si>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</si>
  <si>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</si>
  <si>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</si>
  <si>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</si>
  <si>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</si>
  <si>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</si>
  <si>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</si>
  <si>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</si>
  <si>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</si>
  <si>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</si>
  <si>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</si>
  <si>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</si>
  <si>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</si>
  <si>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</si>
  <si>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</si>
  <si>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</si>
  <si>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</si>
  <si>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</si>
  <si>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</si>
  <si>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</si>
  <si>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</si>
  <si>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</si>
  <si>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</si>
  <si>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</si>
  <si>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</si>
  <si>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</si>
  <si>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</si>
  <si>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</si>
  <si>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</si>
  <si>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</si>
  <si>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</si>
  <si>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</si>
  <si>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</si>
  <si>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</si>
  <si>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</si>
  <si>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</si>
  <si>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</si>
  <si>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</si>
  <si>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</si>
  <si>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</si>
  <si>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</si>
  <si>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</si>
  <si>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</si>
  <si>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</si>
  <si>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</si>
  <si>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</si>
  <si>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</si>
  <si>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</si>
  <si>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</si>
  <si>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</si>
  <si>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</si>
  <si>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</si>
  <si>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</si>
  <si>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</si>
  <si>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</si>
  <si>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</si>
  <si>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</si>
  <si>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</si>
  <si>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</si>
  <si>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</si>
  <si>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</si>
  <si>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</si>
  <si>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</si>
  <si>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</si>
  <si>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</si>
  <si>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</si>
  <si>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</si>
  <si>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</si>
  <si>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</si>
  <si>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</si>
  <si>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</si>
  <si>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</si>
  <si>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</si>
  <si>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</si>
  <si>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</si>
  <si>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</si>
  <si>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</si>
  <si>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</si>
  <si>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</si>
  <si>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</si>
  <si>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</si>
  <si>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</si>
  <si>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</si>
  <si>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</si>
  <si>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</si>
  <si>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</si>
  <si>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</si>
  <si>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</si>
  <si>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</si>
  <si>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</si>
  <si>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</si>
  <si>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</si>
  <si>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</si>
  <si>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</si>
  <si>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</si>
  <si>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</si>
  <si>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</si>
  <si>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</si>
  <si>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</si>
  <si>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</si>
  <si>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</si>
  <si>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</si>
  <si>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</si>
  <si>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</si>
  <si>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</si>
  <si>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</si>
  <si>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</si>
  <si>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</si>
  <si>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</si>
  <si>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</si>
  <si>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</si>
  <si>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</si>
  <si>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</si>
  <si>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</si>
  <si>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</si>
  <si>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</si>
  <si>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</si>
  <si>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</si>
  <si>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</si>
  <si>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</si>
  <si>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</si>
  <si>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</si>
  <si>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</si>
  <si>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</si>
  <si>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</si>
  <si>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</si>
  <si>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</si>
  <si>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</si>
  <si>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</si>
  <si>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</si>
  <si>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</si>
  <si>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</si>
  <si>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</si>
  <si>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</si>
  <si>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</si>
  <si>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</si>
  <si>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</si>
  <si>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</si>
  <si>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</si>
  <si>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</si>
  <si>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</si>
  <si>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</si>
  <si>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</si>
  <si>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</si>
  <si>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</si>
  <si>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</si>
  <si>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</si>
  <si>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</si>
  <si>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</si>
  <si>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</si>
  <si>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</si>
  <si>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</si>
  <si>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</si>
  <si>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</si>
  <si>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</si>
  <si>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</si>
  <si>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</si>
  <si>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</si>
  <si>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</si>
  <si>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</si>
  <si>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</si>
  <si>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</si>
  <si>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</si>
  <si>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</si>
  <si>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</si>
  <si>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</si>
  <si>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</si>
  <si>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</si>
  <si>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</si>
  <si>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</si>
  <si>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</si>
  <si>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</si>
  <si>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</si>
  <si>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</si>
  <si>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</si>
  <si>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</si>
  <si>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</si>
  <si>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</si>
  <si>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</si>
  <si>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</si>
  <si>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</si>
  <si>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</si>
  <si>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</si>
  <si>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</si>
  <si>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</si>
  <si>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</si>
  <si>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</si>
  <si>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</si>
  <si>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</si>
  <si>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</si>
  <si>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</si>
  <si>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</si>
  <si>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</si>
  <si>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</si>
  <si>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</si>
  <si>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</si>
  <si>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</si>
  <si>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</si>
  <si>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</si>
  <si>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</si>
  <si>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</si>
  <si>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</si>
  <si>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</si>
  <si>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</si>
  <si>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</si>
  <si>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</si>
  <si>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</si>
  <si>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</si>
  <si>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</si>
  <si>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</si>
  <si>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</si>
  <si>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</si>
  <si>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</si>
  <si>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</si>
  <si>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</si>
  <si>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</si>
  <si>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</si>
  <si>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</si>
  <si>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</si>
  <si>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</si>
  <si>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</si>
  <si>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</si>
  <si>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</si>
  <si>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</si>
  <si>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</si>
  <si>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</si>
  <si>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</si>
  <si>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</si>
  <si>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</si>
  <si>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</si>
  <si>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</si>
  <si>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</si>
  <si>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</si>
  <si>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</si>
  <si>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</si>
  <si>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</si>
  <si>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</si>
  <si>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</si>
  <si>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</si>
  <si>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</si>
  <si>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</si>
  <si>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</si>
  <si>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</si>
  <si>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</si>
  <si>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</si>
  <si>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</si>
  <si>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</si>
  <si>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</si>
  <si>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</si>
  <si>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</si>
  <si>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</si>
  <si>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</si>
  <si>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</si>
  <si>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</si>
  <si>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</si>
  <si>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</si>
  <si>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</si>
  <si>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</si>
  <si>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</si>
  <si>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</si>
  <si>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</si>
  <si>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</si>
  <si>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</si>
  <si>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</si>
  <si>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</si>
  <si>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</si>
  <si>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</si>
  <si>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</si>
  <si>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</si>
  <si>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</si>
  <si>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</si>
  <si>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</si>
  <si>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</si>
  <si>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</si>
  <si>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</si>
  <si>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</si>
  <si>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</si>
  <si>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</si>
  <si>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</si>
  <si>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</si>
  <si>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</si>
  <si>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</si>
  <si>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</si>
  <si>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</si>
  <si>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</si>
  <si>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</si>
  <si>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</si>
  <si>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</si>
  <si>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</si>
  <si>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</si>
  <si>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</si>
  <si>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</si>
  <si>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</si>
  <si>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</si>
  <si>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</si>
  <si>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</si>
  <si>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</si>
  <si>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</si>
  <si>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</si>
  <si>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</si>
  <si>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</si>
  <si>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</si>
  <si>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</si>
  <si>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</si>
  <si>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</si>
  <si>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</si>
  <si>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</si>
  <si>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</si>
  <si>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</si>
  <si>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</si>
  <si>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</si>
  <si>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</si>
  <si>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</si>
  <si>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</si>
  <si>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</si>
  <si>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</si>
  <si>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</si>
  <si>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</si>
  <si>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</si>
  <si>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</si>
  <si>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</si>
  <si>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</si>
  <si>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</si>
  <si>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</si>
  <si>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</si>
  <si>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</si>
  <si>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</si>
  <si>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</si>
  <si>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</si>
  <si>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</si>
  <si>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</si>
  <si>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</si>
  <si>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</si>
  <si>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</si>
  <si>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</si>
  <si>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</si>
  <si>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</si>
  <si>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</si>
  <si>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</si>
  <si>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</si>
  <si>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</si>
  <si>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</si>
  <si>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</si>
  <si>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</si>
  <si>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</si>
  <si>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</si>
  <si>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</si>
  <si>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</si>
  <si>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</si>
  <si>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</si>
  <si>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</si>
  <si>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</si>
  <si>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</si>
  <si>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</si>
  <si>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</si>
  <si>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</si>
  <si>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</si>
  <si>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</si>
  <si>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</si>
  <si>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</si>
  <si>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</si>
  <si>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</si>
  <si>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</si>
  <si>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</si>
  <si>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</si>
  <si>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</si>
  <si>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</si>
  <si>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</si>
  <si>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</si>
  <si>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</si>
  <si>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</si>
  <si>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</si>
  <si>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</si>
  <si>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</si>
  <si>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</si>
  <si>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</si>
  <si>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</si>
  <si>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</si>
  <si>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</si>
  <si>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</si>
  <si>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</si>
  <si>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</si>
  <si>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</si>
  <si>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</si>
  <si>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</si>
  <si>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</si>
  <si>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</si>
  <si>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</si>
  <si>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</si>
  <si>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</si>
  <si>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</si>
  <si>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</si>
  <si>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</si>
  <si>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</si>
  <si>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</si>
  <si>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</si>
  <si>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</si>
  <si>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</si>
  <si>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</si>
  <si>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</si>
  <si>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</si>
  <si>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</si>
  <si>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</si>
  <si>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</si>
  <si>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</si>
  <si>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</si>
  <si>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</si>
  <si>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</si>
  <si>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</si>
  <si>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</si>
  <si>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</si>
  <si>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</si>
  <si>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</si>
  <si>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</si>
  <si>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</si>
  <si>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</si>
  <si>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</si>
  <si>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</si>
  <si>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</si>
  <si>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</si>
  <si>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</si>
  <si>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</si>
  <si>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</si>
  <si>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</si>
  <si>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</si>
  <si>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</si>
  <si>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</si>
  <si>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</si>
  <si>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</si>
  <si>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</si>
  <si>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</si>
  <si>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</si>
  <si>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</si>
  <si>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</si>
  <si>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</si>
  <si>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</si>
  <si>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</si>
  <si>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</si>
  <si>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</si>
  <si>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</si>
  <si>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</si>
  <si>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</si>
  <si>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</si>
  <si>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</si>
  <si>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</si>
  <si>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</si>
  <si>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</si>
  <si>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</si>
  <si>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</si>
  <si>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</si>
  <si>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</si>
  <si>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</si>
  <si>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</si>
  <si>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</si>
  <si>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</si>
  <si>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</si>
  <si>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</si>
  <si>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</si>
  <si>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</si>
  <si>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</si>
  <si>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</si>
  <si>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</si>
  <si>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</si>
  <si>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</si>
  <si>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</si>
  <si>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</si>
  <si>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</si>
  <si>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</si>
  <si>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</si>
  <si>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</si>
  <si>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</si>
  <si>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</si>
  <si>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</si>
  <si>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</si>
  <si>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</si>
  <si>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</si>
  <si>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</si>
  <si>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</si>
  <si>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</si>
  <si>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</si>
  <si>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</si>
  <si>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</si>
  <si>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</si>
  <si>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</si>
  <si>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</si>
  <si>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</si>
  <si>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</si>
  <si>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</si>
  <si>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</si>
  <si>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</si>
  <si>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</si>
  <si>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</si>
  <si>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</si>
  <si>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</si>
  <si>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</si>
  <si>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</si>
  <si>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</si>
  <si>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</si>
  <si>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</si>
  <si>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</si>
  <si>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</si>
  <si>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</si>
  <si>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</si>
  <si>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</si>
  <si>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</si>
  <si>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</si>
  <si>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</si>
  <si>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</si>
  <si>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</si>
  <si>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</si>
  <si>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</si>
  <si>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</si>
  <si>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</si>
  <si>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</si>
  <si>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</si>
  <si>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</si>
  <si>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</si>
  <si>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</si>
  <si>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</si>
  <si>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</si>
  <si>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</si>
  <si>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</si>
  <si>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</si>
  <si>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</si>
  <si>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</si>
  <si>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</si>
  <si>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</si>
  <si>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</si>
  <si>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</si>
  <si>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</si>
  <si>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</si>
  <si>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</si>
  <si>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</si>
  <si>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</si>
  <si>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</si>
  <si>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</si>
  <si>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</si>
  <si>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</si>
  <si>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</si>
  <si>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</si>
  <si>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</si>
  <si>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</si>
  <si>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</si>
  <si>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</si>
  <si>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</si>
  <si>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</si>
  <si>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</si>
  <si>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</si>
  <si>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</si>
  <si>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</si>
  <si>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</si>
  <si>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</si>
  <si>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</si>
  <si>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</si>
  <si>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</si>
  <si>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</si>
  <si>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</si>
  <si>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</si>
  <si>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</si>
  <si>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</si>
  <si>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</si>
  <si>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</si>
  <si>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</si>
  <si>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</si>
  <si>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</si>
  <si>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</si>
  <si>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</si>
  <si>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</si>
  <si>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</si>
  <si>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</si>
  <si>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</si>
  <si>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</si>
  <si>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</si>
  <si>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</si>
  <si>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</si>
  <si>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</si>
  <si>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</si>
  <si>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</si>
  <si>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</si>
  <si>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</si>
  <si>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</si>
  <si>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</si>
  <si>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</si>
  <si>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</si>
  <si>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</si>
  <si>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</si>
  <si>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</si>
  <si>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</si>
  <si>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</si>
  <si>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</si>
  <si>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</si>
  <si>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</si>
  <si>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</si>
  <si>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</si>
  <si>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</si>
  <si>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</si>
  <si>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</si>
  <si>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</si>
  <si>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</si>
  <si>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</si>
  <si>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</si>
  <si>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</si>
  <si>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</si>
  <si>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</si>
  <si>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</si>
  <si>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</si>
  <si>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</si>
  <si>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</si>
  <si>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</si>
  <si>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</si>
  <si>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</si>
  <si>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</si>
  <si>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</si>
  <si>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</si>
  <si>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</si>
  <si>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</si>
  <si>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</si>
  <si>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</si>
  <si>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</si>
  <si>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</si>
  <si>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</si>
  <si>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</si>
  <si>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</si>
  <si>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</si>
  <si>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</si>
  <si>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</si>
  <si>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</si>
  <si>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</si>
  <si>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</si>
  <si>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</si>
  <si>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</si>
  <si>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</si>
  <si>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</si>
  <si>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</si>
  <si>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</si>
  <si>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</si>
  <si>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</si>
  <si>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</si>
  <si>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</si>
  <si>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</si>
  <si>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</si>
  <si>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</si>
  <si>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</si>
  <si>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</si>
  <si>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</si>
  <si>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</si>
  <si>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</si>
  <si>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</si>
  <si>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</si>
  <si>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</si>
  <si>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</si>
  <si>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</si>
  <si>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</si>
  <si>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</si>
  <si>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</si>
  <si>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</si>
  <si>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</si>
  <si>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</si>
  <si>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</si>
  <si>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</si>
  <si>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</si>
  <si>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</si>
  <si>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</si>
  <si>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</si>
  <si>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</si>
  <si>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</si>
  <si>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</si>
  <si>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</si>
  <si>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</si>
  <si>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</si>
  <si>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</si>
  <si>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</si>
  <si>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</si>
  <si>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</si>
  <si>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</si>
  <si>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</si>
  <si>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</si>
  <si>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</si>
  <si>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</si>
  <si>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</si>
  <si>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</si>
  <si>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</si>
  <si>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</si>
  <si>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</si>
  <si>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</si>
  <si>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</si>
  <si>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</si>
  <si>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</si>
  <si>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</si>
  <si>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</si>
  <si>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</si>
  <si>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</si>
  <si>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</si>
  <si>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</si>
  <si>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</si>
  <si>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</si>
  <si>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</si>
  <si>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</si>
  <si>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</si>
  <si>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</si>
  <si>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</si>
  <si>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</si>
  <si>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</si>
  <si>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</si>
  <si>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</si>
  <si>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</si>
  <si>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</si>
  <si>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</si>
  <si>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</si>
  <si>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</si>
  <si>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</si>
  <si>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</si>
  <si>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</si>
  <si>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</si>
  <si>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</si>
  <si>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</si>
  <si>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</si>
  <si>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</si>
  <si>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</si>
  <si>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</si>
  <si>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</si>
  <si>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</si>
  <si>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</si>
  <si>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</si>
  <si>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</si>
  <si>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</si>
  <si>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</si>
  <si>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</si>
  <si>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</si>
  <si>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</si>
  <si>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</si>
  <si>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</si>
  <si>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</si>
  <si>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</si>
  <si>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</si>
  <si>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</si>
  <si>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</si>
  <si>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</si>
  <si>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</si>
  <si>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</si>
  <si>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</si>
  <si>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</si>
  <si>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</si>
  <si>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</si>
  <si>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</si>
  <si>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</si>
  <si>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</si>
  <si>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</si>
  <si>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</si>
  <si>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</si>
  <si>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</si>
  <si>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</si>
  <si>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</si>
  <si>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</si>
  <si>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</si>
  <si>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</si>
  <si>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</si>
  <si>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</si>
  <si>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</si>
  <si>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</si>
  <si>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</si>
  <si>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</si>
  <si>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</si>
  <si>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</si>
  <si>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</si>
  <si>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</si>
  <si>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</si>
  <si>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</si>
  <si>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</si>
  <si>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</si>
  <si>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</si>
  <si>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</si>
  <si>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</si>
  <si>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</si>
  <si>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</si>
  <si>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</si>
  <si>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</si>
  <si>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</si>
  <si>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</si>
  <si>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</si>
  <si>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</si>
  <si>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</si>
  <si>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</si>
  <si>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</si>
  <si>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</si>
  <si>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</si>
  <si>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</si>
  <si>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</si>
  <si>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</si>
  <si>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</si>
  <si>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</si>
  <si>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</si>
  <si>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</si>
  <si>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</si>
  <si>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</si>
  <si>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</si>
  <si>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</si>
  <si>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</si>
  <si>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</si>
  <si>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</si>
  <si>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</si>
  <si>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</si>
  <si>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</si>
  <si>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</si>
  <si>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</si>
  <si>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</si>
  <si>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</si>
  <si>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</si>
  <si>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</si>
  <si>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</si>
  <si>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</si>
  <si>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</si>
  <si>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</si>
  <si>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</si>
  <si>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</si>
  <si>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</si>
  <si>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</si>
  <si>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</si>
  <si>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</si>
  <si>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</si>
  <si>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</si>
  <si>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</si>
  <si>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</si>
  <si>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</si>
  <si>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</si>
  <si>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</si>
  <si>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</si>
  <si>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</si>
  <si>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</si>
  <si>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</si>
  <si>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</si>
  <si>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</si>
  <si>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</si>
  <si>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</si>
  <si>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</si>
  <si>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</si>
  <si>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</si>
  <si>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</si>
  <si>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</si>
  <si>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</si>
  <si>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</si>
  <si>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</si>
  <si>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</si>
  <si>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</si>
  <si>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</si>
  <si>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</si>
  <si>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</si>
  <si>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</si>
  <si>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</si>
  <si>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</si>
  <si>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</si>
  <si>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</si>
  <si>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</si>
  <si>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</si>
  <si>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</si>
  <si>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</si>
  <si>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</si>
  <si>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</si>
  <si>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</si>
  <si>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</si>
  <si>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</si>
  <si>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</si>
  <si>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</si>
  <si>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</si>
  <si>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</si>
  <si>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</si>
  <si>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</si>
  <si>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</si>
  <si>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</si>
  <si>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</si>
  <si>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</si>
  <si>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</si>
  <si>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</si>
  <si>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</si>
  <si>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</si>
  <si>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</si>
  <si>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</si>
  <si>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</si>
  <si>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</si>
  <si>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</si>
  <si>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</si>
  <si>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</si>
  <si>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</si>
  <si>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</si>
  <si>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</si>
  <si>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</si>
  <si>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</si>
  <si>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</si>
  <si>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</si>
  <si>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</si>
  <si>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</si>
  <si>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</si>
  <si>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</si>
  <si>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</si>
  <si>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</si>
  <si>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</si>
  <si>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</si>
  <si>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</si>
  <si>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</si>
  <si>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</si>
  <si>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</si>
  <si>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</si>
  <si>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</si>
  <si>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</si>
  <si>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</si>
  <si>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</si>
  <si>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</si>
  <si>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</si>
  <si>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</si>
  <si>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</si>
  <si>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</si>
  <si>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</si>
  <si>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</si>
  <si>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</si>
  <si>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</si>
  <si>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</si>
  <si>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</si>
  <si>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</si>
  <si>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</si>
  <si>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</si>
  <si>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</si>
  <si>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</si>
  <si>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</si>
  <si>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</si>
  <si>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</si>
  <si>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</si>
  <si>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</si>
  <si>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</si>
  <si>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</si>
  <si>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</si>
  <si>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</si>
  <si>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</si>
  <si>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</si>
  <si>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</si>
  <si>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</si>
  <si>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</si>
  <si>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</si>
  <si>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</si>
  <si>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</si>
  <si>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</si>
  <si>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</si>
  <si>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</si>
  <si>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</si>
  <si>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</si>
  <si>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</si>
  <si>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</si>
  <si>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</si>
  <si>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</si>
  <si>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</si>
  <si>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</si>
  <si>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</si>
  <si>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</si>
  <si>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</si>
  <si>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</si>
  <si>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</si>
  <si>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</si>
  <si>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</si>
  <si>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</si>
  <si>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</si>
  <si>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</si>
  <si>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</si>
  <si>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</si>
  <si>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</si>
  <si>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</si>
  <si>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</si>
  <si>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</si>
  <si>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</si>
  <si>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</si>
  <si>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</si>
  <si>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</si>
  <si>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</si>
  <si>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</si>
  <si>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</si>
  <si>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</si>
  <si>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</si>
  <si>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</si>
  <si>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</si>
  <si>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</si>
  <si>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</si>
  <si>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</si>
  <si>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</si>
  <si>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</si>
  <si>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</si>
  <si>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</si>
  <si>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</si>
  <si>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</si>
  <si>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</si>
  <si>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</si>
  <si>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</si>
  <si>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</si>
  <si>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</si>
  <si>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</si>
  <si>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</si>
  <si>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</si>
  <si>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</si>
  <si>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</si>
  <si>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</si>
  <si>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</si>
  <si>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</si>
  <si>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</si>
  <si>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</si>
  <si>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</si>
  <si>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</si>
  <si>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</si>
  <si>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</si>
  <si>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</si>
  <si>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</si>
  <si>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</si>
  <si>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</si>
  <si>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</si>
  <si>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</si>
  <si>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</si>
  <si>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</si>
  <si>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</si>
  <si>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</si>
  <si>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</si>
  <si>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</si>
  <si>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</si>
  <si>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</si>
  <si>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</si>
  <si>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</si>
  <si>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</si>
  <si>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</si>
  <si>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</si>
  <si>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</si>
  <si>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</si>
  <si>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</si>
  <si>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</si>
  <si>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</si>
  <si>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</si>
  <si>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</si>
  <si>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</si>
  <si>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</si>
  <si>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</si>
  <si>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</si>
  <si>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</si>
  <si>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</si>
  <si>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</si>
  <si>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</si>
  <si>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</si>
  <si>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</si>
  <si>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</si>
  <si>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</si>
  <si>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</si>
  <si>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</si>
  <si>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</si>
  <si>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</si>
  <si>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</si>
  <si>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</si>
  <si>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</si>
  <si>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</si>
  <si>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</si>
  <si>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</si>
  <si>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</si>
  <si>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</si>
  <si>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</si>
  <si>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</si>
  <si>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</si>
  <si>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</si>
  <si>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</si>
  <si>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</si>
  <si>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</si>
  <si>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</si>
  <si>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</si>
  <si>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</si>
  <si>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</si>
  <si>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</si>
  <si>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</si>
  <si>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</si>
  <si>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</si>
  <si>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</si>
  <si>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</si>
  <si>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</si>
  <si>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</si>
  <si>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</si>
  <si>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</si>
  <si>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</si>
  <si>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</si>
  <si>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</si>
  <si>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</si>
  <si>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</si>
  <si>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</si>
  <si>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</si>
  <si>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</si>
  <si>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</si>
  <si>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</si>
  <si>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</si>
  <si>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</si>
  <si>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</si>
  <si>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</si>
  <si>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</si>
  <si>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</si>
  <si>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</si>
  <si>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</si>
  <si>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</si>
  <si>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</si>
  <si>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</si>
  <si>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</si>
  <si>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</si>
  <si>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</si>
  <si>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</si>
  <si>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</si>
  <si>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</si>
  <si>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</si>
  <si>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</si>
  <si>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</si>
  <si>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</si>
  <si>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</si>
  <si>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</si>
  <si>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</si>
  <si>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</si>
  <si>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</si>
  <si>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</si>
  <si>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</si>
  <si>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</si>
  <si>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</si>
  <si>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</si>
  <si>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</si>
  <si>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</si>
  <si>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</si>
  <si>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</si>
  <si>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</si>
  <si>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</si>
  <si>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</si>
  <si>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</si>
  <si>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</si>
  <si>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</si>
  <si>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</si>
  <si>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</si>
  <si>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</si>
  <si>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</si>
  <si>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</si>
  <si>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</si>
  <si>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</si>
  <si>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</si>
  <si>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</si>
  <si>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</si>
  <si>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</si>
  <si>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</si>
  <si>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</si>
  <si>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</si>
  <si>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</si>
  <si>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</si>
  <si>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</si>
  <si>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</si>
  <si>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</si>
  <si>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</si>
  <si>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</si>
  <si>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</si>
  <si>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</si>
  <si>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</si>
  <si>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</si>
  <si>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</si>
  <si>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</si>
  <si>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</si>
  <si>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</si>
  <si>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</si>
  <si>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</si>
  <si>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</si>
  <si>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</si>
  <si>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</si>
  <si>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</si>
  <si>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</si>
  <si>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</si>
  <si>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</si>
  <si>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</si>
  <si>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</si>
  <si>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</si>
  <si>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</si>
  <si>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</si>
  <si>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</si>
  <si>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</si>
  <si>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</si>
  <si>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</si>
  <si>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</si>
  <si>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</si>
  <si>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</si>
  <si>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</si>
  <si>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</si>
  <si>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</si>
  <si>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</si>
  <si>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</si>
  <si>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</si>
  <si>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</si>
  <si>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</si>
  <si>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</si>
  <si>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</si>
  <si>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</si>
  <si>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</si>
  <si>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</si>
  <si>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</si>
  <si>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</si>
  <si>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</si>
  <si>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</si>
  <si>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</si>
  <si>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</si>
  <si>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</si>
  <si>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</si>
  <si>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</si>
  <si>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</si>
  <si>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</si>
  <si>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</si>
  <si>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</si>
  <si>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</si>
  <si>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</si>
  <si>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</si>
  <si>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</si>
  <si>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</si>
  <si>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</si>
  <si>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</si>
  <si>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</si>
  <si>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</si>
  <si>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</si>
  <si>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</si>
  <si>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</si>
  <si>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</si>
  <si>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</si>
  <si>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</si>
  <si>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</si>
  <si>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</si>
  <si>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</si>
  <si>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</si>
  <si>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</si>
  <si>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</si>
  <si>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</si>
  <si>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</si>
  <si>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</si>
  <si>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</si>
  <si>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</si>
  <si>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</si>
  <si>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</si>
  <si>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</si>
  <si>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</si>
  <si>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</si>
  <si>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</si>
  <si>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</si>
  <si>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</si>
  <si>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</si>
  <si>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</si>
  <si>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</si>
  <si>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</si>
  <si>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</si>
  <si>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</si>
  <si>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</si>
  <si>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</si>
  <si>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</si>
  <si>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</si>
  <si>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</si>
  <si>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</si>
  <si>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</si>
  <si>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</si>
  <si>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</si>
  <si>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</si>
  <si>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</si>
  <si>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</si>
  <si>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</si>
  <si>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</si>
  <si>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</si>
  <si>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</si>
  <si>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</si>
  <si>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</si>
  <si>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</si>
  <si>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</si>
  <si>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</si>
  <si>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</si>
  <si>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</si>
  <si>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</si>
  <si>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</si>
  <si>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</si>
  <si>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</si>
  <si>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</si>
  <si>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</si>
  <si>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</si>
  <si>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</si>
  <si>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</si>
  <si>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</si>
  <si>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</si>
  <si>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</si>
  <si>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</si>
  <si>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</si>
  <si>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</si>
  <si>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</si>
  <si>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</si>
  <si>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</si>
  <si>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</si>
  <si>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</si>
  <si>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</si>
  <si>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</si>
  <si>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</si>
  <si>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</si>
  <si>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</si>
  <si>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</si>
  <si>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</si>
  <si>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</si>
  <si>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</si>
  <si>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</si>
  <si>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</si>
  <si>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</si>
  <si>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</si>
  <si>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</si>
  <si>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</si>
  <si>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</si>
  <si>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</si>
  <si>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</si>
  <si>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</si>
  <si>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</si>
  <si>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</si>
  <si>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</si>
  <si>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</si>
  <si>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</si>
  <si>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</si>
  <si>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</si>
  <si>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</si>
  <si>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</si>
  <si>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</si>
  <si>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</si>
  <si>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</si>
  <si>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</si>
  <si>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</si>
  <si>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</si>
  <si>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</si>
  <si>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</si>
  <si>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</si>
  <si>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</si>
  <si>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</si>
  <si>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</si>
  <si>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</si>
  <si>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</si>
  <si>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</si>
  <si>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</si>
  <si>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</si>
  <si>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</si>
  <si>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</si>
  <si>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</si>
  <si>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</si>
  <si>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</si>
  <si>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</si>
  <si>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</si>
  <si>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</si>
  <si>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</si>
  <si>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</si>
  <si>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</si>
  <si>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</si>
  <si>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</si>
  <si>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</si>
  <si>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</si>
  <si>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</si>
  <si>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</si>
  <si>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</si>
  <si>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</si>
  <si>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</si>
  <si>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</si>
  <si>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</si>
  <si>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</si>
  <si>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</si>
  <si>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</si>
  <si>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</si>
  <si>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</si>
  <si>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</si>
  <si>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</si>
  <si>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</si>
  <si>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</si>
  <si>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</si>
  <si>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</si>
  <si>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</si>
  <si>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</si>
  <si>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</si>
  <si>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</si>
  <si>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</si>
  <si>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</si>
  <si>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</si>
  <si>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</si>
  <si>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</si>
  <si>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</si>
  <si>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</si>
  <si>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</si>
  <si>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</si>
  <si>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</si>
  <si>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</si>
  <si>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</si>
  <si>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</si>
  <si>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</si>
  <si>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</si>
  <si>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</si>
  <si>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</si>
  <si>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</si>
  <si>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</si>
  <si>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</si>
  <si>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</si>
  <si>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</si>
  <si>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</si>
  <si>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</si>
  <si>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</si>
  <si>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</si>
  <si>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</si>
  <si>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</si>
  <si>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</si>
  <si>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</si>
  <si>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</si>
  <si>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</si>
  <si>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</si>
  <si>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</si>
  <si>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</si>
  <si>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</si>
  <si>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</si>
  <si>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</si>
  <si>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</si>
  <si>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</si>
  <si>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</si>
  <si>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</si>
  <si>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</si>
  <si>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</si>
  <si>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</si>
  <si>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</si>
  <si>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</si>
  <si>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</si>
  <si>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</si>
  <si>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</si>
  <si>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</si>
  <si>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</si>
  <si>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</si>
  <si>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</si>
  <si>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</si>
  <si>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</si>
  <si>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</si>
  <si>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</si>
  <si>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</si>
  <si>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</si>
  <si>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</si>
  <si>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</si>
  <si>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</si>
  <si>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</si>
  <si>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</si>
  <si>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</si>
  <si>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</si>
  <si>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</si>
  <si>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</si>
  <si>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</si>
  <si>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</si>
  <si>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</si>
  <si>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</si>
  <si>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</si>
  <si>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</si>
  <si>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</si>
  <si>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</si>
  <si>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</si>
  <si>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</si>
  <si>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</si>
  <si>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</si>
  <si>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</si>
  <si>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</si>
  <si>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</si>
  <si>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</si>
  <si>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</si>
  <si>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</si>
  <si>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</si>
  <si>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</si>
  <si>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</si>
  <si>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</si>
  <si>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</si>
  <si>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</si>
  <si>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</si>
  <si>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</si>
  <si>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</si>
  <si>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</si>
  <si>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</si>
  <si>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</si>
  <si>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</si>
  <si>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</si>
  <si>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</si>
  <si>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</si>
  <si>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</si>
  <si>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</si>
  <si>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</si>
  <si>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</si>
  <si>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</si>
  <si>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</si>
  <si>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</si>
  <si>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</si>
  <si>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</si>
  <si>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</si>
  <si>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</si>
  <si>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</si>
  <si>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</si>
  <si>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</si>
  <si>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</si>
  <si>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</si>
  <si>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</si>
  <si>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</si>
  <si>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</si>
  <si>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</si>
  <si>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</si>
  <si>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</si>
  <si>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</si>
  <si>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</si>
  <si>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</si>
  <si>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</si>
  <si>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</si>
  <si>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</si>
  <si>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</si>
  <si>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</si>
  <si>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</si>
  <si>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</si>
  <si>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</si>
  <si>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</si>
  <si>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</si>
  <si>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</si>
  <si>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</si>
  <si>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</si>
  <si>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</si>
  <si>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</si>
  <si>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</si>
  <si>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</si>
  <si>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</si>
  <si>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</si>
  <si>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</si>
  <si>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</si>
  <si>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</si>
  <si>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</si>
  <si>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</si>
  <si>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</si>
  <si>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</si>
  <si>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</si>
  <si>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</si>
  <si>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</si>
  <si>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</si>
  <si>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</si>
  <si>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</si>
  <si>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</si>
  <si>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</si>
  <si>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</si>
  <si>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</si>
  <si>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</si>
  <si>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</si>
  <si>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</si>
  <si>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</si>
  <si>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</si>
  <si>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</si>
  <si>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</si>
  <si>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</si>
  <si>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</si>
  <si>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</si>
  <si>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</si>
  <si>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</si>
  <si>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</si>
  <si>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</si>
  <si>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</si>
  <si>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</si>
  <si>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</si>
  <si>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</si>
  <si>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</si>
  <si>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</si>
  <si>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</si>
  <si>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</si>
  <si>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</si>
  <si>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</si>
  <si>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</si>
  <si>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</si>
  <si>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</si>
  <si>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</si>
  <si>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</si>
  <si>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</si>
  <si>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</si>
  <si>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</si>
  <si>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</si>
  <si>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</si>
  <si>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</si>
  <si>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</si>
  <si>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</si>
  <si>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</si>
  <si>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</si>
  <si>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</si>
  <si>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</si>
  <si>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</si>
  <si>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</si>
  <si>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</si>
  <si>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</si>
  <si>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</si>
  <si>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</si>
  <si>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</si>
  <si>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</si>
  <si>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</si>
  <si>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</si>
  <si>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</si>
  <si>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</si>
  <si>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</si>
  <si>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</si>
  <si>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</si>
  <si>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</si>
  <si>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</si>
  <si>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</si>
  <si>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</si>
  <si>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</si>
  <si>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</si>
  <si>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</si>
  <si>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</si>
  <si>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</si>
  <si>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</si>
  <si>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</si>
  <si>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</si>
  <si>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</si>
  <si>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</si>
  <si>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</si>
  <si>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</si>
  <si>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</si>
  <si>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</si>
  <si>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</si>
  <si>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</si>
  <si>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</si>
  <si>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</si>
  <si>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</si>
  <si>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</si>
  <si>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</si>
  <si>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</si>
  <si>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</si>
  <si>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</si>
  <si>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</si>
  <si>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</si>
  <si>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</si>
  <si>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</si>
  <si>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</si>
  <si>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</si>
  <si>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</si>
  <si>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</si>
  <si>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</si>
  <si>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</si>
  <si>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</si>
  <si>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</si>
  <si>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</si>
  <si>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</si>
  <si>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</si>
  <si>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</si>
  <si>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</si>
  <si>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</si>
  <si>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</si>
  <si>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</si>
  <si>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</si>
  <si>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</si>
  <si>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</si>
  <si>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</si>
  <si>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</si>
  <si>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</si>
  <si>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</si>
  <si>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</si>
  <si>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</si>
  <si>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</si>
  <si>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</si>
  <si>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</si>
  <si>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</si>
  <si>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</si>
  <si>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</si>
  <si>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</si>
  <si>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</si>
  <si>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</si>
  <si>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</si>
  <si>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</si>
  <si>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</si>
  <si>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</si>
  <si>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</si>
  <si>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</si>
  <si>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</si>
  <si>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</si>
  <si>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</si>
  <si>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</si>
  <si>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</si>
  <si>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</si>
  <si>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</si>
  <si>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</si>
  <si>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</si>
  <si>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</si>
  <si>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</si>
  <si>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</si>
  <si>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</si>
  <si>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</si>
  <si>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</si>
  <si>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</si>
  <si>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</si>
  <si>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</si>
  <si>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</si>
  <si>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</si>
  <si>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</si>
  <si>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</si>
  <si>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</si>
  <si>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</si>
  <si>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</si>
  <si>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</si>
  <si>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</si>
  <si>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</si>
  <si>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</si>
  <si>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</si>
  <si>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</si>
  <si>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</si>
  <si>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</si>
  <si>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</si>
  <si>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</si>
  <si>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</si>
  <si>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</si>
  <si>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</si>
  <si>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</si>
  <si>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</si>
  <si>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</si>
  <si>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</si>
  <si>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</si>
  <si>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</si>
  <si>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</si>
  <si>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</si>
  <si>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</si>
  <si>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</si>
  <si>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</si>
  <si>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</si>
  <si>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</si>
  <si>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</si>
  <si>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</si>
  <si>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</si>
  <si>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</si>
  <si>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</si>
  <si>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</si>
  <si>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</si>
  <si>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</si>
  <si>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</si>
  <si>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</si>
  <si>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</si>
  <si>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</si>
  <si>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</si>
  <si>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</si>
  <si>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</si>
  <si>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</si>
  <si>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</si>
  <si>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</si>
  <si>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</si>
  <si>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</si>
  <si>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</si>
  <si>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</si>
  <si>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</si>
  <si>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</si>
  <si>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</si>
  <si>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</si>
  <si>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</si>
  <si>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</si>
  <si>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</si>
  <si>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</si>
  <si>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</si>
  <si>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</si>
  <si>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</si>
  <si>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</si>
  <si>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</si>
  <si>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</si>
  <si>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</si>
  <si>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</si>
  <si>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</si>
  <si>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</si>
  <si>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</si>
  <si>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</si>
  <si>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</si>
  <si>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</si>
  <si>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</si>
  <si>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</si>
  <si>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</si>
  <si>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</si>
  <si>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</si>
  <si>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</si>
  <si>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</si>
  <si>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</si>
  <si>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</si>
  <si>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</si>
  <si>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</si>
  <si>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</si>
  <si>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</si>
  <si>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</si>
  <si>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</si>
  <si>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</si>
  <si>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</si>
  <si>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</si>
  <si>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</si>
  <si>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</si>
  <si>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</si>
  <si>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</si>
  <si>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</si>
  <si>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</si>
  <si>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</si>
  <si>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</si>
  <si>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</si>
  <si>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</si>
  <si>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</si>
  <si>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</si>
  <si>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</si>
  <si>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</si>
  <si>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</si>
  <si>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</si>
  <si>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</si>
  <si>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</si>
  <si>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</si>
  <si>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</si>
  <si>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</si>
  <si>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</si>
  <si>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</si>
  <si>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</si>
  <si>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</si>
  <si>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</si>
  <si>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</si>
  <si>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</si>
  <si>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</si>
  <si>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</si>
  <si>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</si>
  <si>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</si>
  <si>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</si>
  <si>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</si>
  <si>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</si>
  <si>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</si>
  <si>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</si>
  <si>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</si>
  <si>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</si>
  <si>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</si>
  <si>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</si>
  <si>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</si>
  <si>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</si>
  <si>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</si>
  <si>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</si>
  <si>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</si>
  <si>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</si>
  <si>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</si>
  <si>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</si>
  <si>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</si>
  <si>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</si>
  <si>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</si>
  <si>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</si>
  <si>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</si>
  <si>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</si>
  <si>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</si>
  <si>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</si>
  <si>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</si>
  <si>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</si>
  <si>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</si>
  <si>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</si>
  <si>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</si>
  <si>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</si>
  <si>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</si>
  <si>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</si>
  <si>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</si>
  <si>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</si>
  <si>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</si>
  <si>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</si>
  <si>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</si>
  <si>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</si>
  <si>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</si>
  <si>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</si>
  <si>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</si>
  <si>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</si>
  <si>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</si>
  <si>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</si>
  <si>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</si>
  <si>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</si>
  <si>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</si>
  <si>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</si>
  <si>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</si>
  <si>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</si>
  <si>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</si>
  <si>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</si>
  <si>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</si>
  <si>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</si>
  <si>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</si>
  <si>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</si>
  <si>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</si>
  <si>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</si>
  <si>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</si>
  <si>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</si>
  <si>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</si>
  <si>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</si>
  <si>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</si>
  <si>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</si>
  <si>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</si>
  <si>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</si>
  <si>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</si>
  <si>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</si>
  <si>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</si>
  <si>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</si>
  <si>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</si>
  <si>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</si>
  <si>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</si>
  <si>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</si>
  <si>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</si>
  <si>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</si>
  <si>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</si>
  <si>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</si>
  <si>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</si>
  <si>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</si>
  <si>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</si>
  <si>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</si>
  <si>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</si>
  <si>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</si>
  <si>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</si>
  <si>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</si>
  <si>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</si>
  <si>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</si>
  <si>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</si>
  <si>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</si>
  <si>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</si>
  <si>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</si>
  <si>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</si>
  <si>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</si>
  <si>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</si>
  <si>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</si>
  <si>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</si>
  <si>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</si>
  <si>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</si>
  <si>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</si>
  <si>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</si>
  <si>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</si>
  <si>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</si>
  <si>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</si>
  <si>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</si>
  <si>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</si>
  <si>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</si>
  <si>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</si>
  <si>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</si>
  <si>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</si>
  <si>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</si>
  <si>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</si>
  <si>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</si>
  <si>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</si>
  <si>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</si>
  <si>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</si>
  <si>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</si>
  <si>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</si>
  <si>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</si>
  <si>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</si>
  <si>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</si>
  <si>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</si>
  <si>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</si>
  <si>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</si>
  <si>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</si>
  <si>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</si>
  <si>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</si>
  <si>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</si>
  <si>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</si>
  <si>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</si>
  <si>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</si>
  <si>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</si>
  <si>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</si>
  <si>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</si>
  <si>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</si>
  <si>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</si>
  <si>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</si>
  <si>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</si>
  <si>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</si>
  <si>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</si>
  <si>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</si>
  <si>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</si>
  <si>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</si>
  <si>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</si>
  <si>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</si>
  <si>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</si>
  <si>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</si>
  <si>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</si>
  <si>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</si>
  <si>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</si>
  <si>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</si>
  <si>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</si>
  <si>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</si>
  <si>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</si>
  <si>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</si>
  <si>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</si>
  <si>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</si>
  <si>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</si>
  <si>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</si>
  <si>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</si>
  <si>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</si>
  <si>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</si>
  <si>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</si>
  <si>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</si>
  <si>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</si>
  <si>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</si>
  <si>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</si>
  <si>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</si>
  <si>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</si>
  <si>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</si>
  <si>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</si>
  <si>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</si>
  <si>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</si>
  <si>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</si>
  <si>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</si>
  <si>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</si>
  <si>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</si>
  <si>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</si>
  <si>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</si>
  <si>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</si>
  <si>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</si>
  <si>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</si>
  <si>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</si>
  <si>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</si>
  <si>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</si>
  <si>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</si>
  <si>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</si>
  <si>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</si>
  <si>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</si>
  <si>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</si>
  <si>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</si>
  <si>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</si>
  <si>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</si>
  <si>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</si>
  <si>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</si>
  <si>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</si>
  <si>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</si>
  <si>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</si>
  <si>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</si>
  <si>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</si>
  <si>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</si>
  <si>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</si>
  <si>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</si>
  <si>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</si>
  <si>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</si>
  <si>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</si>
  <si>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</si>
  <si>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</si>
  <si>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</si>
  <si>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</si>
  <si>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</si>
  <si>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</si>
  <si>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</si>
  <si>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</si>
  <si>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</si>
  <si>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</si>
  <si>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</si>
  <si>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</si>
  <si>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</si>
  <si>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</si>
  <si>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</si>
  <si>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</si>
  <si>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</si>
  <si>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</si>
  <si>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</si>
  <si>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</si>
  <si>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</si>
  <si>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</si>
  <si>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</si>
  <si>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</si>
  <si>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</si>
  <si>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</si>
  <si>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</si>
  <si>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</si>
  <si>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</si>
  <si>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</si>
  <si>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</si>
  <si>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</si>
  <si>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</si>
  <si>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</si>
  <si>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</si>
  <si>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</si>
  <si>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</si>
  <si>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</si>
  <si>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</si>
  <si>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</si>
  <si>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</si>
  <si>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</si>
  <si>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</si>
  <si>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</si>
  <si>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</si>
  <si>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</si>
  <si>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</si>
  <si>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</si>
  <si>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</si>
  <si>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</si>
  <si>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</si>
  <si>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</si>
  <si>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</si>
  <si>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</si>
  <si>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</si>
  <si>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</si>
  <si>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</si>
  <si>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</si>
  <si>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</si>
  <si>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</si>
  <si>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</si>
  <si>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</si>
  <si>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</si>
  <si>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</si>
  <si>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</si>
  <si>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</si>
  <si>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</si>
  <si>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</si>
  <si>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</si>
  <si>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</si>
  <si>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</si>
  <si>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</si>
  <si>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</si>
  <si>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</si>
  <si>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</si>
  <si>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</si>
  <si>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</si>
  <si>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</si>
  <si>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</si>
  <si>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</si>
  <si>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</si>
  <si>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</si>
  <si>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</si>
  <si>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</si>
  <si>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</si>
  <si>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</si>
  <si>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</si>
  <si>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</si>
  <si>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</si>
  <si>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</si>
  <si>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</si>
  <si>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</si>
  <si>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</si>
  <si>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</si>
  <si>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</si>
  <si>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</si>
  <si>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</si>
  <si>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</si>
  <si>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</si>
  <si>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</si>
  <si>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</si>
  <si>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</si>
  <si>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</si>
  <si>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</si>
  <si>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</si>
  <si>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</si>
  <si>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</si>
  <si>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</si>
  <si>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</si>
  <si>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</si>
  <si>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</si>
  <si>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</si>
  <si>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</si>
  <si>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</si>
  <si>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</si>
  <si>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</si>
  <si>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</si>
  <si>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</si>
  <si>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</si>
  <si>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</si>
  <si>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</si>
  <si>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</si>
  <si>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</si>
  <si>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</si>
  <si>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</si>
  <si>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</si>
  <si>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</si>
  <si>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</si>
  <si>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</si>
  <si>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</si>
  <si>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</si>
  <si>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</si>
  <si>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</si>
  <si>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</si>
  <si>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</si>
  <si>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</si>
  <si>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</si>
  <si>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</si>
  <si>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</si>
  <si>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</si>
  <si>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</si>
  <si>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</si>
  <si>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</si>
  <si>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</si>
  <si>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</si>
  <si>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</si>
  <si>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</si>
  <si>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</si>
  <si>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</si>
  <si>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</si>
  <si>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</si>
  <si>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</si>
  <si>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</si>
  <si>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</si>
  <si>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</si>
  <si>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</si>
  <si>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</si>
  <si>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</si>
  <si>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</si>
  <si>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</si>
  <si>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</si>
  <si>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</si>
  <si>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</si>
  <si>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</si>
  <si>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</si>
  <si>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</si>
  <si>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</si>
  <si>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</si>
  <si>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</si>
  <si>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</si>
  <si>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</si>
  <si>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</si>
  <si>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</si>
  <si>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</si>
  <si>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</si>
  <si>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</si>
  <si>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</si>
  <si>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</si>
  <si>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</si>
  <si>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</si>
  <si>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</si>
  <si>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</si>
  <si>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</si>
  <si>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</si>
  <si>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</si>
  <si>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</si>
  <si>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</si>
  <si>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</si>
  <si>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</si>
  <si>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</si>
  <si>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</si>
  <si>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</si>
  <si>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</si>
  <si>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</si>
  <si>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</si>
  <si>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</si>
  <si>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</si>
  <si>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</si>
  <si>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</si>
  <si>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</si>
  <si>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</si>
  <si>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</si>
  <si>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</si>
  <si>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</si>
  <si>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</si>
  <si>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</si>
  <si>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</si>
  <si>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</si>
  <si>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</si>
  <si>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</si>
  <si>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</si>
  <si>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</si>
  <si>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</si>
  <si>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</si>
  <si>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</si>
  <si>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</si>
  <si>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</si>
  <si>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</si>
  <si>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</si>
  <si>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</si>
  <si>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</si>
  <si>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</si>
  <si>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</si>
  <si>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</si>
  <si>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</si>
  <si>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</si>
  <si>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</si>
  <si>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</si>
  <si>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</si>
  <si>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</si>
  <si>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</si>
  <si>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</si>
  <si>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</si>
  <si>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</si>
  <si>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</si>
  <si>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</si>
  <si>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</si>
  <si>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</si>
  <si>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</si>
  <si>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</si>
  <si>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</si>
  <si>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</si>
  <si>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</si>
  <si>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</si>
  <si>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</si>
  <si>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</si>
  <si>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</si>
  <si>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</si>
  <si>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</si>
  <si>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</si>
  <si>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</si>
  <si>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</si>
  <si>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</si>
  <si>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</si>
  <si>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</si>
  <si>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</si>
  <si>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</si>
  <si>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</si>
  <si>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</si>
  <si>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</si>
  <si>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</si>
  <si>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</si>
  <si>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</si>
  <si>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</si>
  <si>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</si>
  <si>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</si>
  <si>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</si>
  <si>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</si>
  <si>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</si>
  <si>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</si>
  <si>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</si>
  <si>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</si>
  <si>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</si>
  <si>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</si>
  <si>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</si>
  <si>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</si>
  <si>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</si>
  <si>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</si>
  <si>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</si>
  <si>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</si>
  <si>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</si>
  <si>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</si>
  <si>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</si>
  <si>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</si>
  <si>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</si>
  <si>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</si>
  <si>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</si>
  <si>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</si>
  <si>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</si>
  <si>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</si>
  <si>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</si>
  <si>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</si>
  <si>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</si>
  <si>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</si>
  <si>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</si>
  <si>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</si>
  <si>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</si>
  <si>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</si>
  <si>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</si>
  <si>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</si>
  <si>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</si>
  <si>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</si>
  <si>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</si>
  <si>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</si>
  <si>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</si>
  <si>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</si>
  <si>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</si>
  <si>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</si>
  <si>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</si>
  <si>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</si>
  <si>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</si>
  <si>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</si>
  <si>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</si>
  <si>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</si>
  <si>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</si>
  <si>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</si>
  <si>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</si>
  <si>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</si>
  <si>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</si>
  <si>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</si>
  <si>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</si>
  <si>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</si>
  <si>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</si>
  <si>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</si>
  <si>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</si>
  <si>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</si>
  <si>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</si>
  <si>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</si>
  <si>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</si>
  <si>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</si>
  <si>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</si>
  <si>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</si>
  <si>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</si>
  <si>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</si>
  <si>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</si>
  <si>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</si>
  <si>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</si>
  <si>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</si>
  <si>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</si>
  <si>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</si>
  <si>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</si>
  <si>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</si>
  <si>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</si>
  <si>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</si>
  <si>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</si>
  <si>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</si>
  <si>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</si>
  <si>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</si>
  <si>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</si>
  <si>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</si>
  <si>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</si>
  <si>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</si>
  <si>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</si>
  <si>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</si>
  <si>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</si>
  <si>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</si>
  <si>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</si>
  <si>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</si>
  <si>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</si>
  <si>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</si>
  <si>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</si>
  <si>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</si>
  <si>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</si>
  <si>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</si>
  <si>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</si>
  <si>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</si>
  <si>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</si>
  <si>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</si>
  <si>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</si>
  <si>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</si>
  <si>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</si>
  <si>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</si>
  <si>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</si>
  <si>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</si>
  <si>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</si>
  <si>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</si>
  <si>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</si>
  <si>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</si>
  <si>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</si>
  <si>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</si>
  <si>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</si>
  <si>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</si>
  <si>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</si>
  <si>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</si>
  <si>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</si>
  <si>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</si>
  <si>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</si>
  <si>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</si>
  <si>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</si>
  <si>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</si>
  <si>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</si>
  <si>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</si>
  <si>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</si>
  <si>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</si>
  <si>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</si>
  <si>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</si>
  <si>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</si>
  <si>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</si>
  <si>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</si>
  <si>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</si>
  <si>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</si>
  <si>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</si>
  <si>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</si>
  <si>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</si>
  <si>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</si>
  <si>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</si>
  <si>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</si>
  <si>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</si>
  <si>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</si>
  <si>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</si>
  <si>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</si>
  <si>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</si>
  <si>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</si>
  <si>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</si>
  <si>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</si>
  <si>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</si>
  <si>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</si>
  <si>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</si>
  <si>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</si>
  <si>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</si>
  <si>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</si>
  <si>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</si>
  <si>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</si>
  <si>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</si>
  <si>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</si>
  <si>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</si>
  <si>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</si>
  <si>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</si>
  <si>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</si>
  <si>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</si>
  <si>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</si>
  <si>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</si>
  <si>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</si>
  <si>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</si>
  <si>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</si>
  <si>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</si>
  <si>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</si>
  <si>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</si>
  <si>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</si>
  <si>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</si>
  <si>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</si>
  <si>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</si>
  <si>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</si>
  <si>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</si>
  <si>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</si>
  <si>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</si>
  <si>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</si>
  <si>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</si>
  <si>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</si>
  <si>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</si>
  <si>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</si>
  <si>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</si>
  <si>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</si>
  <si>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</si>
  <si>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</si>
  <si>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</si>
  <si>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</si>
  <si>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</si>
  <si>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</si>
  <si>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</si>
  <si>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</si>
  <si>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</si>
  <si>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</si>
  <si>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</si>
  <si>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</si>
  <si>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</si>
  <si>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</si>
  <si>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</si>
  <si>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</si>
  <si>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</si>
  <si>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</si>
  <si>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</si>
  <si>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</si>
  <si>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</si>
  <si>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</si>
  <si>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</si>
  <si>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</si>
  <si>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</si>
  <si>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</si>
  <si>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</si>
  <si>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</si>
  <si>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</si>
  <si>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</si>
  <si>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</si>
  <si>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</si>
  <si>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</si>
  <si>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</si>
  <si>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</si>
  <si>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</si>
  <si>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</si>
  <si>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</si>
  <si>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</si>
  <si>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</si>
  <si>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</si>
  <si>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</si>
  <si>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</si>
  <si>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</si>
  <si>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</si>
  <si>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</si>
  <si>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</si>
  <si>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</si>
  <si>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</si>
  <si>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</si>
  <si>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</si>
  <si>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</si>
  <si>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</si>
  <si>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</si>
  <si>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</si>
  <si>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</si>
  <si>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</si>
  <si>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</si>
  <si>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</si>
  <si>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</si>
  <si>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</si>
  <si>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</si>
  <si>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</si>
  <si>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</si>
  <si>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</si>
  <si>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</si>
  <si>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</si>
  <si>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</si>
  <si>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</si>
  <si>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</si>
  <si>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</si>
  <si>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</si>
  <si>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</si>
  <si>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</si>
  <si>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</si>
  <si>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</si>
  <si>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</si>
  <si>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</si>
  <si>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</si>
  <si>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</si>
  <si>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</si>
  <si>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</si>
  <si>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</si>
  <si>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</si>
  <si>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</si>
  <si>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</si>
  <si>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</si>
  <si>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</si>
  <si>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</si>
  <si>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</si>
  <si>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</si>
  <si>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</si>
  <si>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</si>
  <si>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</si>
  <si>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</si>
  <si>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</si>
  <si>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</si>
  <si>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</si>
  <si>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</si>
  <si>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</si>
  <si>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</si>
  <si>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</si>
  <si>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</si>
  <si>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</si>
  <si>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</si>
  <si>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</si>
  <si>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</si>
  <si>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</si>
  <si>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</si>
  <si>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</si>
  <si>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</si>
  <si>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</si>
  <si>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</si>
  <si>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</si>
  <si>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</si>
  <si>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</si>
  <si>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</si>
  <si>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</si>
  <si>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</si>
  <si>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</si>
  <si>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</si>
  <si>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</si>
  <si>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</si>
  <si>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</si>
  <si>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</si>
  <si>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</si>
  <si>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</si>
  <si>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</si>
  <si>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</si>
  <si>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</si>
  <si>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</si>
  <si>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</si>
  <si>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</si>
  <si>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</si>
  <si>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</si>
  <si>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</si>
  <si>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</si>
  <si>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</si>
  <si>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</si>
  <si>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</si>
  <si>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</si>
  <si>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</si>
  <si>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</si>
  <si>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</si>
  <si>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</si>
  <si>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</si>
  <si>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</si>
  <si>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</si>
  <si>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</si>
  <si>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</si>
  <si>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</si>
  <si>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</si>
  <si>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</si>
  <si>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</si>
  <si>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</si>
  <si>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</si>
  <si>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</si>
  <si>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</si>
  <si>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</si>
  <si>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</si>
  <si>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</si>
  <si>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</si>
  <si>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</si>
  <si>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</si>
  <si>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</si>
  <si>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</si>
  <si>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</si>
  <si>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</si>
  <si>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</si>
  <si>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</si>
  <si>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</si>
  <si>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</si>
  <si>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</si>
  <si>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</si>
  <si>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</si>
  <si>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</si>
  <si>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</si>
  <si>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</si>
  <si>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</si>
  <si>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</si>
  <si>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</si>
  <si>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</si>
  <si>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</si>
  <si>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</si>
  <si>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</si>
  <si>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</si>
  <si>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</si>
  <si>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</si>
  <si>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</si>
  <si>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</si>
  <si>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</si>
  <si>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</si>
  <si>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</si>
  <si>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</si>
  <si>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</si>
  <si>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</si>
  <si>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</si>
  <si>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</si>
  <si>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</si>
  <si>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</si>
  <si>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</si>
  <si>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</si>
  <si>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</si>
  <si>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</si>
  <si>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</si>
  <si>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</si>
  <si>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</si>
  <si>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</si>
  <si>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</si>
  <si>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</si>
  <si>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</si>
  <si>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</si>
  <si>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</si>
  <si>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</si>
  <si>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</si>
  <si>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</si>
  <si>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</si>
  <si>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</si>
  <si>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</si>
  <si>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</si>
  <si>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</si>
  <si>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</si>
  <si>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</si>
  <si>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</si>
  <si>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</si>
  <si>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</si>
  <si>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</si>
  <si>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</si>
  <si>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</si>
  <si>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</si>
  <si>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</si>
  <si>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</si>
  <si>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</si>
  <si>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</si>
  <si>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</si>
  <si>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</si>
  <si>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</si>
  <si>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</si>
  <si>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</si>
  <si>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</si>
  <si>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</si>
  <si>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</si>
  <si>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</si>
  <si>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</si>
  <si>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</si>
  <si>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</si>
  <si>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</si>
  <si>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</si>
  <si>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</si>
  <si>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</si>
  <si>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</si>
  <si>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</si>
  <si>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</si>
  <si>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</si>
  <si>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</si>
  <si>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</si>
  <si>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</si>
  <si>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</si>
  <si>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</si>
  <si>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</si>
  <si>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</si>
  <si>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</si>
  <si>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</si>
  <si>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</si>
  <si>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</si>
  <si>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</si>
  <si>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</si>
  <si>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</si>
  <si>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</si>
  <si>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</si>
  <si>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</si>
  <si>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</si>
  <si>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</si>
  <si>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</si>
  <si>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</si>
  <si>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</si>
  <si>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</si>
  <si>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</si>
  <si>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</si>
  <si>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</si>
  <si>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</si>
  <si>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</si>
  <si>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</si>
  <si>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</si>
  <si>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</si>
  <si>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</si>
  <si>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</si>
  <si>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</si>
  <si>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</si>
  <si>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</si>
  <si>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</si>
  <si>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</si>
  <si>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</si>
  <si>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</si>
  <si>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</si>
  <si>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</si>
  <si>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</si>
  <si>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</si>
  <si>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</si>
  <si>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</si>
  <si>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</si>
  <si>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</si>
  <si>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</si>
  <si>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</si>
  <si>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</si>
  <si>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</si>
  <si>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</si>
  <si>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</si>
  <si>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</si>
  <si>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</si>
  <si>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</si>
  <si>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</si>
  <si>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</si>
  <si>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</si>
  <si>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</si>
  <si>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</si>
  <si>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</si>
  <si>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</si>
  <si>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</si>
  <si>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</si>
  <si>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</si>
  <si>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</si>
  <si>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</si>
  <si>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</si>
  <si>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</si>
  <si>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</si>
  <si>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</si>
  <si>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</si>
  <si>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</si>
  <si>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</si>
  <si>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</si>
  <si>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</si>
  <si>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</si>
  <si>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</si>
  <si>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</si>
  <si>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</si>
  <si>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</si>
  <si>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</si>
  <si>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</si>
  <si>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</si>
  <si>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</si>
  <si>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</si>
  <si>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</si>
  <si>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</si>
  <si>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</si>
  <si>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</si>
  <si>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</si>
  <si>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</si>
  <si>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</si>
  <si>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</si>
  <si>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</si>
  <si>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</si>
  <si>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</si>
  <si>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</si>
  <si>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</si>
  <si>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</si>
  <si>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</si>
  <si>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</si>
  <si>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</si>
  <si>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</si>
  <si>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</si>
  <si>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</si>
  <si>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</si>
  <si>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</si>
  <si>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</si>
  <si>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</si>
  <si>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</si>
  <si>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</si>
  <si>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</si>
  <si>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</si>
  <si>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</si>
  <si>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</si>
  <si>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</si>
  <si>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</si>
  <si>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</si>
  <si>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</si>
  <si>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</si>
  <si>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</si>
  <si>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</si>
  <si>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</si>
  <si>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</si>
  <si>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</si>
  <si>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</si>
  <si>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</si>
  <si>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</si>
  <si>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</si>
  <si>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</si>
  <si>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</si>
  <si>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</si>
  <si>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</si>
  <si>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</si>
  <si>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</si>
  <si>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</si>
  <si>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</si>
  <si>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</si>
  <si>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</si>
  <si>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</si>
  <si>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</si>
  <si>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</si>
  <si>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</si>
  <si>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</si>
  <si>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</si>
  <si>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</si>
  <si>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</si>
  <si>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</si>
  <si>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</si>
  <si>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</si>
  <si>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</si>
  <si>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</si>
  <si>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</si>
  <si>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</si>
  <si>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</si>
  <si>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</si>
  <si>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</si>
  <si>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</si>
  <si>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</si>
  <si>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</si>
  <si>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</si>
  <si>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</si>
  <si>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</si>
  <si>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</si>
  <si>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</si>
  <si>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</si>
  <si>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</si>
  <si>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</si>
  <si>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</si>
  <si>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</si>
  <si>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</si>
  <si>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</si>
  <si>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</si>
  <si>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</si>
  <si>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</si>
  <si>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</si>
  <si>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</si>
  <si>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</si>
  <si>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</si>
  <si>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</si>
  <si>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</si>
  <si>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</si>
  <si>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</si>
  <si>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</si>
  <si>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</si>
  <si>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</si>
  <si>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</si>
  <si>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</si>
  <si>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</si>
  <si>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</si>
  <si>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</si>
  <si>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</si>
  <si>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</si>
  <si>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</si>
  <si>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</si>
  <si>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</si>
  <si>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</si>
  <si>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</si>
  <si>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</si>
  <si>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</si>
  <si>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</si>
  <si>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</si>
  <si>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</si>
  <si>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</si>
  <si>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</si>
  <si>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</si>
  <si>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</si>
  <si>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</si>
  <si>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</si>
  <si>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</si>
  <si>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</si>
  <si>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</si>
  <si>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</si>
  <si>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</si>
  <si>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</si>
  <si>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</si>
  <si>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</si>
  <si>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</si>
  <si>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</si>
  <si>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</si>
  <si>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</si>
  <si>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</si>
  <si>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</si>
  <si>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</si>
  <si>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</si>
  <si>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</si>
  <si>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</si>
  <si>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</si>
  <si>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</si>
  <si>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</si>
  <si>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</si>
  <si>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</si>
  <si>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</si>
  <si>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</si>
  <si>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</si>
  <si>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</si>
  <si>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</si>
  <si>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</si>
  <si>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</si>
  <si>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</si>
  <si>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</si>
  <si>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</si>
  <si>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</si>
  <si>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</si>
  <si>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</si>
  <si>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</si>
  <si>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</si>
  <si>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</si>
  <si>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</si>
  <si>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</si>
  <si>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</si>
  <si>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</si>
  <si>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</si>
  <si>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</si>
  <si>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</si>
  <si>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</si>
  <si>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</si>
  <si>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</si>
  <si>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</si>
  <si>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</si>
  <si>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</si>
  <si>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</si>
  <si>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</si>
  <si>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</si>
  <si>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</si>
  <si>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</si>
  <si>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</si>
  <si>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</si>
  <si>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</si>
  <si>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</si>
  <si>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</si>
  <si>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</si>
  <si>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</si>
  <si>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</si>
  <si>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</si>
  <si>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</si>
  <si>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</si>
  <si>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</si>
  <si>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</si>
  <si>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</si>
  <si>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</si>
  <si>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</si>
  <si>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</si>
  <si>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</si>
  <si>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</si>
  <si>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</si>
  <si>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</si>
  <si>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</si>
  <si>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</si>
  <si>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</si>
  <si>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</si>
  <si>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</si>
  <si>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</si>
  <si>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</si>
  <si>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</si>
  <si>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</si>
  <si>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</si>
  <si>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</si>
  <si>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</si>
  <si>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</si>
  <si>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</si>
  <si>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</si>
  <si>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</si>
  <si>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</si>
  <si>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</si>
  <si>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</si>
  <si>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</si>
  <si>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</si>
  <si>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</si>
  <si>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</si>
  <si>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</si>
  <si>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</si>
  <si>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</si>
  <si>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</si>
  <si>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</si>
  <si>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</si>
  <si>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</si>
  <si>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</si>
  <si>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</si>
  <si>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</si>
  <si>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</si>
  <si>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</si>
  <si>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</si>
  <si>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</si>
  <si>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</si>
  <si>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</si>
  <si>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</si>
  <si>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</si>
  <si>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</si>
  <si>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</si>
  <si>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</si>
  <si>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</si>
  <si>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</si>
  <si>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</si>
  <si>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</si>
  <si>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</si>
  <si>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</si>
  <si>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</si>
  <si>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</si>
  <si>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</si>
  <si>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</si>
  <si>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</si>
  <si>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</si>
  <si>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</si>
  <si>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</si>
  <si>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</si>
  <si>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</si>
  <si>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</si>
  <si>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</si>
  <si>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</si>
  <si>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</si>
  <si>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</si>
  <si>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</si>
  <si>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</si>
  <si>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</si>
  <si>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</si>
  <si>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</si>
  <si>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</si>
  <si>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</si>
  <si>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</si>
  <si>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</si>
  <si>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</si>
  <si>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</si>
  <si>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</si>
  <si>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</si>
  <si>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</si>
  <si>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</si>
  <si>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</si>
  <si>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</si>
  <si>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</si>
  <si>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</si>
  <si>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</si>
  <si>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</si>
  <si>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</si>
  <si>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</si>
  <si>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</si>
  <si>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</si>
  <si>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</si>
  <si>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</si>
  <si>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</si>
  <si>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</si>
  <si>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</si>
  <si>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</si>
  <si>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</si>
  <si>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</si>
  <si>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</si>
  <si>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</si>
  <si>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</si>
  <si>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</si>
  <si>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</si>
  <si>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</si>
  <si>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</si>
  <si>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</si>
  <si>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</si>
  <si>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</si>
  <si>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</si>
  <si>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</si>
  <si>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</si>
  <si>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</si>
  <si>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</si>
  <si>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</si>
  <si>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</si>
  <si>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</si>
  <si>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</si>
  <si>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</si>
  <si>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</si>
  <si>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</si>
  <si>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</si>
  <si>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</si>
  <si>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</si>
  <si>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</si>
  <si>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</si>
  <si>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</si>
  <si>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</si>
  <si>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</si>
  <si>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</si>
  <si>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</si>
  <si>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</si>
  <si>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</si>
  <si>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</si>
  <si>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</si>
  <si>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</si>
  <si>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</si>
  <si>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</si>
  <si>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</si>
  <si>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</si>
  <si>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</si>
  <si>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</si>
  <si>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</si>
  <si>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</si>
  <si>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</si>
  <si>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</si>
  <si>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</si>
  <si>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</si>
  <si>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</si>
  <si>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</si>
  <si>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</si>
  <si>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</si>
  <si>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</si>
  <si>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</si>
  <si>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</si>
  <si>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</si>
  <si>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</si>
  <si>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</si>
  <si>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</si>
  <si>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</si>
  <si>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</si>
  <si>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</si>
  <si>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</si>
  <si>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</si>
  <si>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</si>
  <si>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</si>
  <si>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</si>
  <si>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</si>
  <si>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</si>
  <si>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</si>
  <si>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</si>
  <si>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</si>
  <si>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</si>
  <si>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</si>
  <si>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</si>
  <si>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</si>
  <si>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</si>
  <si>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</si>
  <si>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</si>
  <si>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</si>
  <si>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</si>
  <si>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</si>
  <si>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</si>
  <si>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</si>
  <si>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</si>
  <si>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</si>
  <si>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</si>
  <si>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</si>
  <si>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</si>
  <si>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</si>
  <si>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</si>
  <si>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</si>
  <si>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</si>
  <si>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</si>
  <si>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</si>
  <si>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</si>
  <si>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</si>
  <si>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</si>
  <si>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</si>
  <si>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</si>
  <si>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</si>
  <si>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</si>
  <si>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</si>
  <si>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</si>
  <si>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</si>
  <si>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</si>
  <si>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</si>
  <si>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</si>
  <si>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</si>
  <si>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</si>
  <si>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</si>
  <si>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</si>
  <si>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</si>
  <si>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</si>
  <si>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</si>
  <si>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</si>
  <si>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</si>
  <si>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</si>
  <si>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</si>
  <si>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</si>
  <si>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</si>
  <si>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</si>
  <si>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</si>
  <si>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</si>
  <si>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</si>
  <si>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</si>
  <si>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</si>
  <si>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</si>
  <si>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</si>
  <si>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</si>
  <si>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</si>
  <si>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</si>
  <si>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</si>
  <si>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</si>
  <si>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</si>
  <si>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</si>
  <si>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</si>
  <si>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</si>
  <si>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</si>
  <si>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</si>
  <si>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</si>
  <si>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</si>
  <si>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</si>
  <si>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</si>
  <si>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</si>
  <si>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</si>
  <si>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</si>
  <si>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</si>
  <si>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</si>
  <si>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</si>
  <si>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</si>
  <si>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</si>
  <si>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</si>
  <si>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</si>
  <si>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</si>
  <si>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</si>
  <si>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</si>
  <si>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</si>
  <si>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</si>
  <si>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</si>
  <si>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</si>
  <si>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</si>
  <si>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</si>
  <si>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</si>
  <si>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</si>
  <si>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</si>
  <si>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</si>
  <si>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</si>
  <si>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</si>
  <si>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</si>
  <si>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</si>
  <si>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</si>
  <si>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</si>
  <si>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</si>
  <si>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</si>
  <si>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</si>
  <si>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</si>
  <si>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</si>
  <si>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</si>
  <si>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</si>
  <si>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</si>
  <si>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</si>
  <si>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</si>
  <si>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</si>
  <si>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</si>
  <si>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</si>
  <si>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</si>
  <si>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</si>
  <si>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</si>
  <si>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</si>
  <si>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</si>
  <si>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</si>
  <si>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</si>
  <si>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</si>
  <si>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</si>
  <si>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</si>
  <si>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</si>
  <si>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</si>
  <si>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</si>
  <si>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</si>
  <si>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</si>
  <si>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</si>
  <si>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</si>
  <si>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</si>
  <si>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</si>
  <si>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</si>
  <si>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</si>
  <si>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</si>
  <si>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</si>
  <si>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</si>
  <si>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</si>
  <si>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</si>
  <si>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</si>
  <si>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</si>
  <si>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</si>
  <si>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</si>
  <si>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</si>
  <si>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</si>
  <si>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</si>
  <si>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</si>
  <si>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</si>
  <si>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</si>
  <si>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</si>
  <si>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</si>
  <si>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</si>
  <si>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</si>
  <si>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</si>
  <si>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</si>
  <si>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</si>
  <si>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</si>
  <si>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</si>
  <si>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</si>
  <si>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</si>
  <si>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</si>
  <si>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</si>
  <si>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</si>
  <si>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</si>
  <si>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</si>
  <si>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</si>
  <si>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</si>
  <si>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</si>
  <si>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</si>
  <si>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</si>
  <si>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</si>
  <si>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</si>
  <si>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</si>
  <si>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</si>
  <si>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</si>
  <si>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</si>
  <si>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</si>
  <si>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</si>
  <si>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</si>
  <si>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</si>
  <si>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</si>
  <si>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</si>
  <si>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</si>
  <si>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</si>
  <si>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</si>
  <si>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</si>
  <si>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</si>
  <si>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</si>
  <si>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</si>
  <si>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</si>
  <si>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</si>
  <si>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</si>
  <si>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</si>
  <si>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</si>
  <si>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</si>
  <si>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</si>
  <si>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</si>
  <si>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</si>
  <si>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</si>
  <si>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</si>
  <si>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</si>
  <si>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</si>
  <si>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</si>
  <si>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</si>
  <si>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</si>
  <si>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</si>
  <si>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</si>
  <si>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</si>
  <si>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</si>
  <si>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</si>
  <si>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</si>
  <si>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</si>
  <si>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</si>
  <si>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</si>
  <si>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</si>
  <si>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</si>
  <si>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</si>
  <si>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</si>
  <si>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</si>
  <si>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</si>
  <si>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</si>
  <si>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</si>
  <si>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</si>
  <si>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</si>
  <si>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</si>
  <si>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</si>
  <si>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</si>
  <si>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</si>
  <si>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</si>
  <si>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</si>
  <si>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</si>
  <si>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</si>
  <si>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</si>
  <si>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</si>
  <si>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</si>
  <si>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</si>
  <si>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</si>
  <si>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</si>
  <si>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</si>
  <si>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</si>
  <si>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</si>
  <si>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</si>
  <si>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</si>
  <si>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</si>
  <si>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</si>
  <si>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</si>
  <si>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</si>
  <si>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</si>
  <si>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</si>
  <si>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</si>
  <si>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</si>
  <si>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</si>
  <si>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</si>
  <si>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</si>
  <si>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</si>
  <si>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</si>
  <si>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</si>
  <si>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</si>
  <si>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</si>
  <si>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</si>
  <si>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</si>
  <si>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</si>
  <si>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</si>
  <si>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</si>
  <si>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</si>
  <si>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</si>
  <si>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</si>
  <si>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</si>
  <si>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</si>
  <si>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</si>
  <si>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</si>
  <si>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</si>
  <si>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</si>
  <si>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</si>
  <si>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</si>
  <si>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</si>
  <si>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</si>
  <si>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</si>
  <si>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</si>
  <si>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</si>
  <si>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</si>
  <si>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</si>
  <si>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</si>
  <si>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</si>
  <si>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</si>
  <si>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</si>
  <si>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</si>
  <si>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</si>
  <si>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</si>
  <si>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</si>
  <si>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</si>
  <si>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</si>
  <si>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</si>
  <si>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</si>
  <si>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</si>
  <si>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</si>
  <si>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</si>
  <si>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</si>
  <si>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</si>
  <si>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</si>
  <si>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</si>
  <si>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</si>
  <si>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</si>
  <si>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</si>
  <si>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</si>
  <si>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</si>
  <si>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</si>
  <si>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</si>
  <si>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</si>
  <si>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</si>
  <si>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</si>
  <si>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</si>
  <si>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</si>
  <si>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</si>
  <si>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</si>
  <si>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</si>
  <si>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</si>
  <si>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</si>
  <si>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</si>
  <si>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</si>
  <si>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</si>
  <si>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</si>
  <si>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</si>
  <si>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</si>
  <si>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</si>
  <si>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</si>
  <si>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</si>
  <si>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</si>
  <si>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</si>
  <si>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</si>
  <si>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</si>
  <si>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</si>
  <si>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</si>
  <si>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</si>
  <si>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</si>
  <si>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</si>
  <si>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</si>
  <si>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</si>
  <si>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</si>
  <si>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</si>
  <si>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</si>
  <si>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</si>
  <si>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</si>
  <si>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</si>
  <si>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</si>
  <si>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</si>
  <si>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</si>
  <si>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</si>
  <si>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</si>
  <si>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</si>
  <si>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</si>
  <si>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</si>
  <si>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</si>
  <si>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</si>
  <si>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</si>
  <si>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</si>
  <si>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</si>
  <si>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</si>
  <si>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</si>
  <si>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</si>
  <si>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</si>
  <si>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</si>
  <si>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</si>
  <si>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</si>
  <si>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</si>
  <si>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</si>
  <si>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</si>
  <si>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</si>
  <si>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</si>
  <si>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</si>
  <si>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</si>
  <si>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</si>
  <si>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</si>
  <si>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</si>
  <si>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</si>
  <si>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</si>
  <si>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</si>
  <si>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</si>
  <si>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</si>
  <si>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</si>
  <si>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</si>
  <si>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</si>
  <si>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</si>
  <si>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</si>
  <si>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</si>
  <si>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</si>
  <si>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</si>
  <si>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</si>
  <si>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</si>
  <si>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</si>
  <si>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</si>
  <si>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</si>
  <si>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</si>
  <si>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</si>
  <si>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</si>
  <si>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</si>
  <si>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</si>
  <si>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</si>
  <si>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</si>
  <si>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</si>
  <si>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</si>
  <si>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</si>
  <si>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</si>
  <si>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</si>
  <si>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</si>
  <si>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</si>
  <si>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</si>
  <si>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</si>
  <si>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</si>
  <si>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</si>
  <si>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</si>
  <si>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</si>
  <si>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</si>
  <si>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</si>
  <si>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</si>
  <si>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</si>
  <si>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</si>
  <si>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</si>
  <si>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</si>
  <si>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</si>
  <si>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</si>
  <si>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</si>
  <si>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</si>
  <si>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</si>
  <si>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</si>
  <si>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</si>
  <si>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</si>
  <si>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</si>
  <si>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</si>
  <si>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</si>
  <si>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</si>
  <si>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</si>
  <si>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</si>
  <si>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</si>
  <si>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</si>
  <si>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</si>
  <si>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</si>
  <si>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</si>
  <si>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</si>
  <si>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</si>
  <si>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</si>
  <si>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</si>
  <si>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</si>
  <si>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</si>
  <si>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</si>
  <si>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</si>
  <si>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</si>
  <si>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</si>
  <si>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</si>
  <si>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</si>
  <si>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</si>
  <si>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</si>
  <si>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</si>
  <si>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</si>
  <si>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</si>
  <si>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</si>
  <si>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</si>
  <si>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</si>
  <si>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</si>
  <si>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</si>
  <si>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</si>
  <si>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</si>
  <si>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</si>
  <si>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</si>
  <si>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</si>
  <si>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</si>
  <si>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</si>
  <si>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</si>
  <si>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</si>
  <si>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</si>
  <si>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</si>
  <si>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</si>
  <si>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</si>
  <si>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</si>
  <si>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</si>
  <si>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</si>
  <si>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</si>
  <si>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</si>
  <si>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</si>
  <si>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</si>
  <si>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</si>
  <si>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</si>
  <si>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</si>
  <si>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</si>
  <si>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</si>
  <si>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</si>
  <si>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</si>
  <si>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</si>
  <si>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</si>
  <si>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</si>
  <si>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</si>
  <si>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</si>
  <si>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</si>
  <si>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</si>
  <si>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</si>
  <si>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</si>
  <si>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</si>
  <si>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</si>
  <si>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</si>
  <si>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</si>
  <si>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</si>
  <si>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</si>
  <si>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</si>
  <si>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</si>
  <si>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</si>
  <si>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</si>
  <si>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</si>
  <si>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</si>
  <si>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</si>
  <si>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</si>
  <si>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</si>
  <si>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</si>
  <si>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</si>
  <si>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</si>
  <si>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</si>
  <si>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</si>
  <si>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</si>
  <si>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</si>
  <si>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</si>
  <si>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</si>
  <si>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</si>
  <si>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</si>
  <si>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</si>
  <si>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</si>
  <si>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</si>
  <si>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</si>
  <si>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</si>
  <si>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</si>
  <si>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</si>
  <si>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</si>
  <si>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</si>
  <si>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</si>
  <si>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</si>
  <si>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</si>
  <si>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</si>
  <si>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</si>
  <si>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</si>
  <si>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</si>
  <si>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</si>
  <si>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</si>
  <si>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</si>
  <si>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</si>
  <si>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</si>
  <si>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</si>
  <si>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</si>
  <si>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</si>
  <si>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</si>
  <si>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</si>
  <si>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</si>
  <si>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</si>
  <si>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</si>
  <si>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</si>
  <si>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</si>
  <si>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</si>
  <si>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</si>
  <si>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</si>
  <si>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</si>
  <si>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</si>
  <si>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</si>
  <si>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</si>
  <si>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</si>
  <si>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</si>
  <si>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</si>
  <si>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</si>
  <si>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</si>
  <si>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</si>
  <si>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</si>
  <si>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</si>
  <si>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</si>
  <si>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</si>
  <si>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</si>
  <si>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</si>
  <si>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</si>
  <si>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</si>
  <si>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</si>
  <si>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</si>
  <si>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</si>
  <si>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</si>
  <si>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</si>
  <si>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</si>
  <si>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</si>
  <si>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</si>
  <si>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</si>
  <si>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</si>
  <si>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</si>
  <si>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</si>
  <si>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</si>
  <si>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</si>
  <si>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</si>
  <si>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</si>
  <si>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</si>
  <si>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</si>
  <si>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</si>
  <si>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</si>
  <si>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</si>
  <si>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</si>
  <si>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</si>
  <si>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</si>
  <si>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</si>
  <si>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</si>
  <si>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</si>
  <si>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</si>
  <si>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</si>
  <si>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</si>
  <si>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</si>
  <si>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</si>
  <si>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</si>
  <si>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</si>
  <si>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</si>
  <si>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</si>
  <si>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</si>
  <si>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</si>
  <si>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</si>
  <si>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</si>
  <si>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</si>
  <si>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</si>
  <si>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</si>
  <si>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</si>
  <si>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</si>
  <si>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</si>
  <si>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</si>
  <si>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</si>
  <si>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</si>
  <si>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</si>
  <si>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</si>
  <si>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</si>
  <si>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</si>
  <si>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</si>
  <si>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</si>
  <si>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</si>
  <si>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</si>
  <si>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</si>
  <si>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</si>
  <si>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</si>
  <si>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</si>
  <si>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</si>
  <si>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</si>
  <si>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</si>
  <si>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</si>
  <si>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</si>
  <si>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</si>
  <si>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</si>
  <si>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</si>
  <si>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</si>
  <si>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</si>
  <si>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</si>
  <si>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</si>
  <si>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</si>
  <si>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</si>
  <si>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</si>
  <si>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</si>
  <si>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</si>
  <si>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</si>
  <si>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</si>
  <si>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</si>
  <si>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</si>
  <si>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</si>
  <si>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</si>
  <si>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</si>
  <si>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</si>
  <si>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</si>
  <si>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</si>
  <si>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</si>
  <si>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</si>
  <si>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</si>
  <si>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</si>
  <si>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</si>
  <si>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</si>
  <si>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</si>
  <si>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</si>
  <si>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</si>
  <si>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</si>
  <si>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</si>
  <si>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</si>
  <si>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</si>
  <si>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</si>
  <si>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</si>
  <si>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</si>
  <si>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</si>
  <si>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</si>
  <si>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</si>
  <si>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</si>
  <si>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</si>
  <si>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</si>
  <si>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</si>
  <si>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</si>
  <si>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</si>
  <si>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</si>
  <si>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</si>
  <si>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</si>
  <si>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</si>
  <si>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</si>
  <si>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</si>
  <si>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</si>
  <si>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</si>
  <si>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</si>
  <si>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</si>
  <si>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</si>
  <si>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</si>
  <si>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</si>
  <si>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</si>
  <si>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</si>
  <si>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</si>
  <si>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</si>
  <si>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</si>
  <si>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</si>
  <si>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</si>
  <si>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</si>
  <si>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</si>
  <si>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</si>
  <si>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</si>
  <si>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</si>
  <si>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</si>
  <si>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</si>
  <si>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</si>
  <si>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</si>
  <si>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</si>
  <si>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</si>
  <si>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</si>
  <si>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</si>
  <si>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</si>
  <si>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</si>
  <si>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</si>
  <si>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</si>
  <si>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</si>
  <si>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</si>
  <si>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</si>
  <si>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</si>
  <si>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</si>
  <si>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</si>
  <si>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</si>
  <si>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</si>
  <si>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</si>
  <si>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</si>
  <si>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</si>
  <si>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</si>
  <si>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</si>
  <si>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</si>
  <si>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</si>
  <si>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</si>
  <si>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</si>
  <si>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</si>
  <si>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</si>
  <si>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</si>
  <si>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</si>
  <si>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</si>
  <si>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</si>
  <si>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</si>
  <si>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</si>
  <si>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</si>
  <si>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</si>
  <si>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</si>
  <si>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</si>
  <si>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</si>
  <si>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</si>
  <si>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</si>
  <si>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</si>
  <si>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</si>
  <si>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</si>
  <si>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</si>
  <si>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</si>
  <si>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</si>
  <si>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</si>
  <si>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</si>
  <si>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</si>
  <si>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</si>
  <si>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</si>
  <si>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</si>
  <si>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</si>
  <si>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</si>
  <si>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</si>
  <si>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</si>
  <si>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</si>
  <si>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</si>
  <si>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</si>
  <si>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</si>
  <si>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</si>
  <si>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</si>
  <si>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</si>
  <si>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</si>
  <si>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</si>
  <si>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</si>
  <si>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</si>
  <si>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</si>
  <si>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</si>
  <si>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</si>
  <si>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</si>
  <si>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</si>
  <si>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</si>
  <si>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</si>
  <si>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</si>
  <si>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</si>
  <si>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</si>
  <si>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</si>
  <si>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</si>
  <si>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</si>
  <si>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</si>
  <si>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</si>
  <si>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</si>
  <si>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</si>
  <si>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</si>
  <si>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</si>
  <si>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</si>
  <si>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</si>
  <si>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</si>
  <si>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</si>
  <si>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</si>
  <si>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</si>
  <si>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</si>
  <si>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</si>
  <si>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</si>
  <si>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</si>
  <si>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</si>
  <si>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</si>
  <si>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</si>
  <si>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</si>
  <si>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</si>
  <si>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</si>
  <si>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</si>
  <si>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</si>
  <si>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</si>
  <si>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</si>
  <si>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</si>
  <si>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</si>
  <si>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</si>
  <si>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</si>
  <si>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</si>
  <si>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</si>
  <si>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</si>
  <si>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</si>
  <si>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</si>
  <si>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</si>
  <si>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</si>
  <si>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</si>
  <si>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</si>
  <si>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</si>
  <si>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</si>
  <si>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</si>
  <si>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</si>
  <si>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</si>
  <si>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</si>
  <si>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</si>
  <si>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</si>
  <si>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</si>
  <si>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</si>
  <si>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</si>
  <si>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</si>
  <si>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</si>
  <si>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</si>
  <si>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</si>
  <si>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</si>
  <si>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</si>
  <si>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</si>
  <si>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</si>
  <si>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</si>
  <si>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</si>
  <si>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</si>
  <si>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</si>
  <si>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</si>
  <si>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</si>
  <si>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</si>
  <si>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</si>
  <si>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</si>
  <si>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</si>
  <si>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</si>
  <si>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</si>
  <si>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</si>
  <si>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</si>
  <si>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</si>
  <si>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</si>
  <si>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</si>
  <si>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</si>
  <si>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</si>
  <si>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</si>
  <si>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</si>
  <si>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</si>
  <si>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</si>
  <si>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</si>
  <si>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</si>
  <si>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</si>
  <si>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</si>
  <si>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</si>
  <si>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</si>
  <si>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</si>
  <si>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</si>
  <si>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</si>
  <si>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</si>
  <si>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</si>
  <si>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</si>
  <si>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</si>
  <si>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</si>
  <si>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</si>
  <si>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</si>
  <si>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</si>
  <si>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</si>
  <si>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</si>
  <si>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</si>
  <si>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</si>
  <si>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</si>
  <si>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</si>
  <si>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</si>
  <si>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</si>
  <si>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</si>
  <si>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</si>
  <si>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</si>
  <si>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</si>
  <si>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</si>
  <si>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</si>
  <si>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</si>
  <si>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</si>
  <si>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</si>
  <si>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</si>
  <si>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</si>
  <si>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</si>
  <si>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</si>
  <si>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</si>
  <si>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</si>
  <si>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</si>
  <si>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</si>
  <si>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</si>
  <si>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</si>
  <si>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</si>
  <si>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</si>
  <si>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</si>
  <si>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</si>
  <si>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</si>
  <si>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</si>
  <si>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</si>
  <si>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</si>
  <si>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</si>
  <si>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</si>
  <si>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</si>
  <si>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</si>
  <si>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</si>
  <si>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</si>
  <si>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</si>
  <si>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</si>
  <si>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</si>
  <si>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</si>
  <si>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</si>
  <si>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</si>
  <si>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</si>
  <si>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</si>
  <si>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</si>
  <si>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</si>
  <si>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</si>
  <si>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</si>
  <si>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</si>
  <si>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</si>
  <si>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</si>
  <si>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</si>
  <si>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</si>
  <si>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</si>
  <si>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</si>
  <si>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</si>
  <si>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</si>
  <si>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</si>
  <si>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</si>
  <si>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</si>
  <si>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</si>
  <si>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</si>
  <si>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</si>
  <si>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</si>
  <si>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</si>
  <si>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</si>
  <si>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</si>
  <si>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</si>
  <si>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</si>
  <si>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</si>
  <si>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</si>
  <si>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</si>
  <si>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</si>
  <si>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</si>
  <si>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</si>
  <si>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</si>
  <si>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</si>
  <si>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</si>
  <si>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</si>
  <si>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</si>
  <si>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</si>
  <si>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</si>
  <si>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</si>
  <si>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</si>
  <si>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</si>
  <si>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</si>
  <si>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</si>
  <si>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</si>
  <si>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</si>
  <si>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</si>
  <si>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</si>
  <si>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</si>
  <si>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</si>
  <si>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</si>
  <si>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</si>
  <si>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</si>
  <si>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</si>
  <si>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</si>
  <si>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</si>
  <si>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</si>
  <si>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</si>
  <si>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</si>
  <si>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</si>
  <si>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</si>
  <si>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</si>
  <si>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</si>
  <si>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</si>
  <si>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</si>
  <si>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</si>
  <si>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</si>
  <si>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</si>
  <si>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</si>
  <si>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</si>
  <si>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</si>
  <si>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</si>
  <si>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</si>
  <si>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</si>
  <si>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</si>
  <si>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</si>
  <si>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</si>
  <si>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</si>
  <si>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</si>
  <si>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</si>
  <si>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</si>
  <si>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</si>
  <si>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</si>
  <si>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</si>
  <si>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</si>
  <si>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</si>
  <si>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</si>
  <si>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</si>
  <si>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</si>
  <si>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</si>
  <si>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</si>
  <si>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</si>
  <si>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</si>
  <si>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</si>
  <si>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</si>
  <si>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</si>
  <si>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</si>
  <si>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</si>
  <si>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</si>
  <si>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</si>
  <si>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</si>
  <si>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</si>
  <si>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</si>
  <si>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</si>
  <si>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</si>
  <si>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</si>
  <si>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</si>
  <si>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</si>
  <si>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</si>
  <si>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</si>
  <si>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</si>
  <si>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</si>
  <si>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</si>
  <si>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</si>
  <si>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</si>
  <si>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</si>
  <si>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</si>
  <si>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</si>
  <si>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</si>
  <si>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</si>
  <si>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</si>
  <si>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</si>
  <si>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</si>
  <si>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</si>
  <si>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</si>
  <si>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</si>
  <si>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</si>
  <si>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</si>
  <si>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</si>
  <si>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</si>
  <si>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</si>
  <si>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</si>
  <si>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</si>
  <si>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</si>
  <si>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</si>
  <si>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</si>
  <si>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</si>
  <si>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</si>
  <si>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</si>
  <si>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</si>
  <si>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</si>
  <si>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</si>
  <si>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</si>
  <si>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</si>
  <si>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</si>
  <si>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</si>
  <si>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</si>
  <si>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</si>
  <si>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</si>
  <si>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</si>
  <si>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</si>
  <si>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</si>
  <si>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</si>
  <si>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</si>
  <si>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</si>
  <si>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</si>
  <si>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</si>
  <si>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</si>
  <si>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</si>
  <si>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</si>
  <si>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</si>
  <si>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</si>
  <si>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</si>
  <si>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</si>
  <si>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</si>
  <si>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</si>
  <si>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</si>
  <si>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</si>
  <si>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</si>
  <si>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</si>
  <si>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</si>
  <si>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</si>
  <si>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</si>
  <si>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</si>
  <si>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</si>
  <si>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</si>
  <si>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</si>
  <si>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</si>
  <si>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</si>
  <si>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</si>
  <si>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</si>
  <si>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</si>
  <si>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</si>
  <si>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</si>
  <si>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</si>
  <si>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</si>
  <si>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</si>
  <si>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</si>
  <si>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</si>
  <si>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</si>
  <si>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</si>
  <si>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</si>
  <si>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</si>
  <si>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</si>
  <si>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</si>
  <si>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</si>
  <si>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</si>
  <si>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</si>
  <si>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</si>
  <si>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</si>
  <si>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</si>
  <si>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</si>
  <si>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</si>
  <si>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</si>
  <si>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</si>
  <si>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</si>
  <si>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</si>
  <si>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</si>
  <si>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</si>
  <si>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</si>
  <si>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</si>
  <si>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</si>
  <si>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</si>
  <si>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</si>
  <si>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</si>
  <si>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</si>
  <si>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</si>
  <si>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</si>
  <si>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</si>
  <si>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</si>
  <si>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</si>
  <si>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</si>
  <si>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</si>
  <si>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</si>
  <si>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</si>
  <si>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</si>
  <si>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</si>
  <si>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</si>
  <si>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</si>
  <si>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</si>
  <si>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</si>
  <si>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</si>
  <si>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</si>
  <si>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</si>
  <si>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</si>
  <si>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</si>
  <si>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</si>
  <si>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</si>
  <si>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</si>
  <si>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</si>
  <si>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</si>
  <si>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</si>
  <si>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</si>
  <si>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</si>
  <si>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</si>
  <si>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</si>
  <si>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</si>
  <si>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</si>
  <si>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</si>
  <si>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</si>
  <si>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</si>
  <si>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</si>
  <si>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</si>
  <si>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</si>
  <si>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</si>
  <si>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</si>
  <si>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</si>
  <si>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</si>
  <si>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</si>
  <si>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</si>
  <si>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</si>
  <si>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</si>
  <si>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</si>
  <si>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</si>
  <si>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</si>
  <si>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</si>
  <si>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</si>
  <si>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</si>
  <si>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</si>
  <si>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</si>
  <si>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</si>
  <si>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</si>
  <si>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</si>
  <si>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</si>
  <si>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</si>
  <si>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</si>
  <si>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</si>
  <si>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</si>
  <si>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</si>
  <si>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</si>
  <si>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</si>
  <si>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</si>
  <si>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</si>
  <si>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</si>
  <si>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</si>
  <si>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</si>
  <si>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</si>
  <si>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</si>
  <si>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</si>
  <si>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</si>
  <si>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</si>
  <si>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</si>
  <si>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</si>
  <si>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</si>
  <si>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</si>
  <si>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</si>
  <si>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</si>
  <si>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</si>
  <si>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</si>
  <si>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</si>
  <si>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</si>
  <si>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</si>
  <si>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</si>
  <si>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</si>
  <si>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</si>
  <si>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</si>
  <si>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</si>
  <si>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</si>
  <si>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</si>
  <si>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</si>
  <si>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</si>
  <si>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</si>
  <si>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</si>
  <si>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</si>
  <si>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</si>
  <si>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</si>
  <si>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</si>
  <si>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</si>
  <si>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</si>
  <si>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</si>
  <si>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</si>
  <si>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</si>
  <si>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</si>
  <si>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</si>
  <si>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</si>
  <si>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</si>
  <si>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</si>
  <si>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</si>
  <si>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</si>
  <si>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</si>
  <si>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</si>
  <si>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</si>
  <si>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</si>
  <si>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</si>
  <si>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</si>
  <si>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</si>
  <si>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</si>
  <si>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</si>
  <si>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</si>
  <si>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</si>
  <si>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</si>
  <si>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</si>
  <si>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</si>
  <si>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</si>
  <si>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</si>
  <si>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</si>
  <si>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</si>
  <si>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</si>
  <si>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</si>
  <si>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</si>
  <si>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</si>
  <si>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</si>
  <si>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</si>
  <si>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</si>
  <si>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</si>
  <si>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</si>
  <si>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</si>
  <si>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</si>
  <si>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</si>
  <si>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</si>
  <si>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</si>
  <si>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</si>
  <si>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</si>
  <si>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</si>
  <si>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</si>
  <si>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</si>
  <si>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</si>
  <si>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</si>
  <si>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</si>
  <si>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</si>
  <si>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</si>
  <si>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</si>
  <si>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</si>
  <si>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</si>
  <si>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</si>
  <si>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</si>
  <si>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</si>
  <si>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</si>
  <si>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</si>
  <si>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</si>
  <si>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</si>
  <si>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</si>
  <si>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</si>
  <si>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</si>
  <si>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</si>
  <si>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</si>
  <si>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</si>
  <si>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</si>
  <si>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</si>
  <si>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</si>
  <si>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</si>
  <si>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</si>
  <si>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</si>
  <si>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</si>
  <si>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</si>
  <si>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</si>
  <si>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</si>
  <si>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</si>
  <si>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</si>
  <si>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</si>
  <si>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</si>
  <si>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</si>
  <si>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</si>
  <si>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</si>
  <si>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</si>
  <si>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</si>
  <si>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</si>
  <si>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</si>
  <si>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</si>
  <si>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</si>
  <si>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</si>
  <si>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</si>
  <si>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</si>
  <si>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</si>
  <si>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</si>
  <si>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</si>
  <si>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</si>
  <si>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</si>
  <si>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</si>
  <si>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</si>
  <si>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</si>
  <si>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</si>
  <si>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</si>
  <si>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</si>
  <si>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</si>
  <si>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</si>
  <si>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</si>
  <si>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</si>
  <si>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</si>
  <si>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</si>
  <si>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</si>
  <si>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</si>
  <si>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</si>
  <si>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</si>
  <si>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</si>
  <si>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</si>
  <si>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</si>
  <si>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</si>
  <si>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</si>
  <si>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</si>
  <si>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</si>
  <si>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</si>
  <si>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</si>
  <si>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</si>
  <si>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</si>
  <si>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</si>
  <si>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</si>
  <si>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</si>
  <si>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</si>
  <si>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</si>
  <si>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</si>
  <si>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</si>
  <si>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</si>
  <si>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</si>
  <si>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</si>
  <si>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</si>
  <si>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</si>
  <si>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</si>
  <si>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</si>
  <si>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</si>
  <si>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</si>
  <si>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</si>
  <si>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</si>
  <si>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</si>
  <si>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</si>
  <si>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</si>
  <si>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</si>
  <si>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</si>
  <si>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</si>
  <si>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</si>
  <si>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</si>
  <si>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</si>
  <si>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</si>
  <si>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</si>
  <si>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</si>
  <si>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</si>
  <si>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</si>
  <si>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</si>
  <si>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</si>
  <si>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</si>
  <si>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</si>
  <si>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</si>
  <si>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</si>
  <si>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</si>
  <si>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</si>
  <si>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</si>
  <si>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</si>
  <si>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</si>
  <si>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</si>
  <si>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</si>
  <si>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</si>
  <si>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</si>
  <si>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</si>
  <si>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</si>
  <si>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</si>
  <si>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</si>
  <si>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</si>
  <si>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</si>
  <si>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</si>
  <si>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</si>
  <si>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</si>
  <si>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</si>
  <si>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</si>
  <si>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</si>
  <si>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</si>
  <si>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</si>
  <si>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</si>
  <si>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</si>
  <si>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</si>
  <si>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</si>
  <si>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</si>
  <si>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</si>
  <si>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</si>
  <si>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</si>
  <si>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</si>
  <si>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</si>
  <si>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</si>
  <si>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</si>
  <si>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</si>
  <si>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</si>
  <si>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</si>
  <si>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</si>
  <si>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</si>
  <si>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</si>
  <si>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</si>
  <si>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</si>
  <si>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</si>
  <si>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</si>
  <si>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</si>
  <si>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</si>
  <si>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</si>
  <si>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</si>
  <si>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</si>
  <si>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</si>
  <si>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</si>
  <si>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</si>
  <si>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</si>
  <si>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</si>
  <si>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</si>
  <si>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</si>
  <si>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</si>
  <si>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</si>
  <si>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</si>
  <si>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</si>
  <si>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</si>
  <si>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</si>
  <si>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</si>
  <si>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</si>
  <si>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</si>
  <si>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</si>
  <si>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</si>
  <si>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</si>
  <si>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</si>
  <si>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</si>
  <si>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</si>
  <si>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</si>
  <si>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</si>
  <si>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</si>
  <si>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</si>
  <si>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</si>
  <si>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</si>
  <si>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</si>
  <si>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</si>
  <si>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</si>
  <si>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</si>
  <si>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</si>
  <si>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</si>
  <si>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</si>
  <si>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</si>
  <si>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</si>
  <si>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</si>
  <si>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</si>
  <si>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</si>
  <si>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</si>
  <si>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</si>
  <si>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</si>
  <si>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</si>
  <si>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</si>
  <si>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</si>
  <si>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</si>
  <si>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</si>
  <si>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</si>
  <si>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</si>
  <si>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</si>
  <si>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</si>
  <si>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</si>
  <si>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</si>
  <si>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</si>
  <si>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</si>
  <si>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</si>
  <si>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</si>
  <si>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</si>
  <si>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</si>
  <si>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</si>
  <si>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</si>
  <si>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</si>
  <si>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</si>
  <si>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</si>
  <si>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</si>
  <si>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</si>
  <si>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</si>
  <si>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</si>
  <si>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</si>
  <si>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</si>
  <si>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</si>
  <si>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</si>
  <si>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</si>
  <si>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</si>
  <si>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</si>
  <si>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</si>
  <si>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</si>
  <si>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</si>
  <si>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</si>
  <si>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</si>
  <si>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</si>
  <si>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</si>
  <si>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</si>
  <si>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</si>
  <si>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</si>
  <si>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</si>
  <si>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</si>
  <si>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</si>
  <si>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</si>
  <si>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</si>
  <si>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</si>
  <si>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</si>
  <si>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</si>
  <si>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</si>
  <si>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</si>
  <si>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</si>
  <si>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</si>
  <si>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</si>
  <si>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</si>
  <si>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</si>
  <si>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</si>
  <si>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</si>
  <si>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</si>
  <si>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</si>
  <si>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</si>
  <si>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</si>
  <si>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</si>
  <si>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</si>
  <si>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</si>
  <si>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</si>
  <si>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</si>
  <si>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</si>
  <si>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</si>
  <si>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</si>
  <si>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</si>
  <si>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</si>
  <si>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</si>
  <si>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</si>
  <si>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</si>
  <si>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</si>
  <si>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</si>
  <si>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</si>
  <si>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</si>
  <si>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</si>
  <si>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</si>
  <si>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</si>
  <si>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</si>
  <si>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</si>
  <si>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</si>
  <si>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</si>
  <si>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</si>
  <si>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</si>
  <si>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</si>
  <si>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</si>
  <si>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</si>
  <si>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</si>
  <si>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</si>
  <si>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</si>
  <si>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</si>
  <si>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</si>
  <si>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</si>
  <si>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</si>
  <si>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</si>
  <si>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</si>
  <si>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</si>
  <si>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</si>
  <si>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</si>
  <si>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</si>
  <si>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</si>
  <si>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</si>
  <si>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</si>
  <si>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</si>
  <si>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</si>
  <si>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</si>
  <si>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</si>
  <si>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</si>
  <si>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</si>
  <si>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</si>
  <si>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</si>
  <si>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</si>
  <si>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</si>
  <si>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</si>
  <si>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</si>
  <si>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</si>
  <si>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</si>
  <si>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</si>
  <si>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</si>
  <si>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</si>
  <si>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</si>
  <si>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</si>
  <si>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</si>
  <si>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</si>
  <si>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</si>
  <si>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</si>
  <si>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</si>
  <si>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</si>
  <si>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</si>
  <si>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</si>
  <si>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</si>
  <si>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</si>
  <si>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</si>
  <si>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</si>
  <si>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</si>
  <si>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</si>
  <si>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</si>
  <si>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</si>
  <si>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</si>
  <si>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</si>
  <si>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</si>
  <si>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</si>
  <si>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</si>
  <si>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</si>
  <si>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</si>
  <si>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</si>
  <si>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</si>
  <si>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</si>
  <si>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</si>
  <si>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</si>
  <si>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</si>
  <si>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</si>
  <si>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</si>
  <si>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</si>
  <si>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</si>
  <si>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</si>
  <si>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</si>
  <si>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</si>
  <si>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</si>
  <si>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</si>
  <si>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</si>
  <si>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</si>
  <si>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</si>
  <si>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</si>
  <si>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</si>
  <si>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</si>
  <si>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</si>
  <si>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</si>
  <si>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</si>
  <si>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</si>
  <si>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</si>
  <si>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</si>
  <si>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</si>
  <si>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</si>
  <si>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</si>
  <si>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</si>
  <si>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</si>
  <si>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</si>
  <si>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</si>
  <si>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</si>
  <si>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</si>
  <si>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</si>
  <si>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</si>
  <si>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</si>
  <si>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</si>
  <si>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</si>
  <si>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</si>
  <si>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</si>
  <si>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</si>
  <si>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</si>
  <si>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</si>
  <si>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</si>
  <si>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</si>
  <si>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</si>
  <si>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</si>
  <si>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</si>
  <si>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</si>
  <si>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</si>
  <si>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</si>
  <si>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</si>
  <si>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</si>
  <si>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</si>
  <si>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</si>
  <si>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</si>
  <si>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</si>
  <si>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</si>
  <si>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</si>
  <si>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</si>
  <si>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</si>
  <si>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</si>
  <si>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</si>
  <si>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</si>
  <si>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</si>
  <si>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</si>
  <si>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</si>
  <si>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</si>
  <si>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</si>
  <si>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</si>
  <si>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</si>
  <si>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</si>
  <si>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</si>
  <si>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</si>
  <si>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</si>
  <si>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</si>
  <si>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</si>
  <si>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</si>
  <si>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</si>
  <si>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</si>
  <si>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</si>
  <si>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</si>
  <si>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</si>
  <si>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</si>
  <si>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</si>
  <si>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</si>
  <si>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</si>
  <si>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</si>
  <si>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</si>
  <si>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</si>
  <si>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</si>
  <si>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</si>
  <si>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</si>
  <si>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</si>
  <si>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</si>
  <si>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</si>
  <si>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</si>
  <si>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</si>
  <si>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</si>
  <si>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</si>
  <si>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</si>
  <si>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</si>
  <si>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</si>
  <si>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</si>
  <si>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</si>
  <si>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</si>
  <si>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</si>
  <si>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</si>
  <si>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</si>
  <si>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</si>
  <si>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</si>
  <si>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</si>
  <si>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</si>
  <si>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</si>
  <si>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</si>
  <si>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</si>
  <si>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</si>
  <si>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</si>
  <si>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</si>
  <si>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</si>
  <si>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</si>
  <si>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</si>
  <si>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</si>
  <si>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</si>
  <si>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</si>
  <si>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</si>
  <si>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</si>
  <si>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</si>
  <si>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</si>
  <si>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</si>
  <si>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</si>
  <si>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</si>
  <si>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</si>
  <si>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</si>
  <si>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</si>
  <si>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</si>
  <si>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</si>
  <si>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</si>
  <si>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</si>
  <si>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</si>
  <si>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</si>
  <si>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</si>
  <si>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</si>
  <si>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</si>
  <si>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</si>
  <si>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</si>
  <si>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</si>
  <si>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</si>
  <si>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</si>
  <si>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</si>
  <si>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</si>
  <si>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</si>
  <si>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</si>
  <si>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</si>
  <si>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</si>
  <si>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</si>
  <si>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</si>
  <si>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</si>
  <si>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</si>
  <si>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</si>
  <si>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</si>
  <si>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</si>
  <si>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</si>
  <si>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</si>
  <si>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</si>
  <si>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</si>
  <si>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</si>
  <si>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</si>
  <si>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</si>
  <si>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</si>
  <si>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</si>
  <si>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</si>
  <si>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</si>
  <si>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</si>
  <si>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</si>
  <si>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</si>
  <si>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</si>
  <si>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</si>
  <si>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</si>
  <si>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</si>
  <si>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</si>
  <si>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</si>
  <si>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</si>
  <si>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</si>
  <si>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</si>
  <si>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</si>
  <si>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</si>
  <si>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</si>
  <si>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</si>
  <si>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</si>
  <si>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</si>
  <si>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</si>
  <si>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</si>
  <si>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</si>
  <si>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</si>
  <si>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</si>
  <si>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</si>
  <si>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</si>
  <si>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</si>
  <si>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</si>
  <si>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</si>
  <si>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</si>
  <si>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</si>
  <si>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</si>
  <si>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</si>
  <si>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</si>
  <si>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</si>
  <si>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</si>
  <si>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</si>
  <si>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</si>
  <si>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</si>
  <si>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</si>
  <si>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</si>
  <si>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</si>
  <si>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</si>
  <si>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</si>
  <si>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</si>
  <si>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</si>
  <si>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</si>
  <si>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</si>
  <si>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</si>
  <si>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</si>
  <si>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</si>
  <si>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</si>
  <si>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</si>
  <si>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</si>
  <si>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</si>
  <si>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</si>
  <si>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</si>
  <si>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</si>
  <si>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</si>
  <si>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</si>
  <si>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</si>
  <si>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</si>
  <si>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</si>
  <si>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</si>
  <si>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</si>
  <si>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</si>
  <si>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</si>
  <si>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</si>
  <si>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</si>
  <si>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</si>
  <si>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</si>
  <si>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</si>
  <si>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</si>
  <si>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</si>
  <si>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</si>
  <si>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</si>
  <si>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</si>
  <si>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</si>
  <si>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</si>
  <si>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</si>
  <si>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</si>
  <si>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</si>
  <si>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</si>
  <si>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</si>
  <si>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</si>
  <si>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</si>
  <si>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</si>
  <si>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</si>
  <si>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</si>
  <si>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</si>
  <si>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</si>
  <si>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</si>
  <si>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</si>
  <si>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</si>
  <si>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</si>
  <si>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</si>
  <si>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</si>
  <si>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</si>
  <si>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</si>
  <si>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</si>
  <si>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</si>
  <si>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</si>
  <si>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</si>
  <si>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</si>
  <si>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</si>
  <si>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</si>
  <si>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</si>
  <si>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</si>
  <si>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</si>
  <si>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</si>
  <si>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</si>
  <si>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</si>
  <si>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</si>
  <si>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</si>
  <si>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</si>
  <si>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</si>
  <si>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</si>
  <si>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</si>
  <si>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</si>
  <si>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</si>
  <si>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</si>
  <si>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</si>
  <si>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</si>
  <si>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</si>
  <si>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</si>
  <si>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</si>
  <si>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</si>
  <si>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</si>
  <si>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</si>
  <si>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</si>
  <si>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</si>
  <si>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</si>
  <si>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</si>
  <si>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</si>
  <si>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</si>
  <si>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</si>
  <si>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</si>
  <si>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</si>
  <si>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</si>
  <si>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</si>
  <si>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</si>
  <si>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</si>
  <si>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</si>
  <si>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</si>
  <si>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</si>
  <si>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</si>
  <si>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</si>
  <si>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</si>
  <si>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</si>
  <si>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</si>
  <si>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</si>
  <si>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</si>
  <si>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</si>
  <si>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</si>
  <si>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</si>
  <si>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</si>
  <si>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</si>
  <si>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</si>
  <si>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</si>
  <si>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</si>
  <si>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</si>
  <si>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</si>
  <si>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</si>
  <si>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</si>
  <si>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</si>
  <si>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</si>
  <si>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</si>
  <si>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</si>
  <si>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</si>
  <si>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</si>
  <si>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</si>
  <si>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</si>
  <si>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</si>
  <si>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</si>
  <si>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</si>
  <si>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</si>
  <si>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</si>
  <si>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</si>
  <si>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</si>
  <si>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</si>
  <si>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</si>
  <si>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</si>
  <si>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</si>
  <si>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</si>
  <si>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</si>
  <si>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</si>
  <si>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</si>
  <si>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</si>
  <si>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</si>
  <si>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</si>
  <si>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</si>
  <si>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</si>
  <si>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</si>
  <si>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</si>
  <si>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</si>
  <si>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</si>
  <si>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</si>
  <si>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</si>
  <si>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</si>
  <si>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</si>
  <si>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</si>
  <si>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</si>
  <si>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</si>
  <si>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</si>
  <si>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</si>
  <si>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</si>
  <si>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</si>
  <si>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</si>
  <si>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</si>
  <si>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</si>
  <si>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</si>
  <si>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</si>
  <si>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</si>
  <si>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</si>
  <si>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</si>
  <si>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</si>
  <si>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</si>
  <si>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</si>
  <si>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</si>
  <si>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</si>
  <si>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</si>
  <si>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</si>
  <si>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</si>
  <si>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</si>
  <si>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</si>
  <si>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</si>
  <si>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</si>
  <si>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</si>
  <si>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</si>
  <si>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</si>
  <si>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</si>
  <si>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</si>
  <si>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</si>
  <si>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</si>
  <si>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</si>
  <si>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</si>
  <si>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</si>
  <si>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</si>
  <si>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</si>
  <si>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</si>
  <si>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</si>
  <si>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</si>
  <si>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</si>
  <si>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</si>
  <si>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</si>
  <si>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</si>
  <si>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</si>
  <si>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</si>
  <si>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</si>
  <si>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</si>
  <si>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</si>
  <si>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</si>
  <si>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</si>
  <si>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</si>
  <si>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</si>
  <si>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</si>
  <si>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</si>
  <si>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</si>
  <si>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</si>
  <si>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</si>
  <si>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</si>
  <si>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</si>
  <si>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</si>
  <si>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</si>
  <si>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</si>
  <si>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</si>
  <si>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</si>
  <si>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</si>
  <si>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</si>
  <si>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</si>
  <si>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</si>
  <si>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</si>
  <si>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</si>
  <si>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</si>
  <si>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</si>
  <si>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</si>
  <si>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</si>
  <si>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</si>
  <si>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</si>
  <si>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</si>
  <si>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</si>
  <si>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</si>
  <si>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</si>
  <si>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</si>
  <si>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</si>
  <si>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</si>
  <si>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</si>
  <si>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</si>
  <si>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</si>
  <si>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</si>
  <si>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</si>
  <si>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</si>
  <si>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</si>
  <si>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</si>
  <si>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</si>
  <si>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</si>
  <si>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</si>
  <si>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</si>
  <si>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</si>
  <si>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</si>
  <si>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</si>
  <si>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</si>
  <si>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</si>
  <si>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</si>
  <si>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</si>
  <si>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</si>
  <si>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</si>
  <si>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</si>
  <si>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</si>
  <si>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</si>
  <si>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</si>
  <si>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</si>
  <si>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</si>
  <si>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</si>
  <si>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</si>
  <si>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</si>
  <si>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</si>
  <si>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</si>
  <si>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</si>
  <si>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</si>
  <si>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</si>
  <si>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</si>
  <si>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</si>
  <si>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</si>
  <si>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</si>
  <si>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</si>
  <si>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</si>
  <si>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</si>
  <si>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</si>
  <si>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</si>
  <si>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</si>
  <si>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</si>
  <si>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</si>
  <si>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</si>
  <si>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</si>
  <si>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</si>
  <si>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</si>
  <si>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</si>
  <si>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</si>
  <si>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</si>
  <si>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</si>
  <si>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</si>
  <si>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</si>
  <si>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</si>
  <si>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</si>
  <si>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</si>
  <si>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</si>
  <si>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</si>
  <si>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</si>
  <si>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</si>
  <si>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</si>
  <si>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</si>
  <si>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</si>
  <si>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</si>
  <si>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</si>
  <si>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</si>
  <si>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</si>
  <si>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</si>
  <si>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</si>
  <si>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</si>
  <si>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</si>
  <si>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</si>
  <si>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</si>
  <si>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</si>
  <si>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</si>
  <si>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</si>
  <si>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</si>
  <si>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</si>
  <si>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</si>
  <si>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</si>
  <si>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</si>
  <si>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</si>
  <si>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</si>
  <si>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</si>
  <si>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</si>
  <si>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</si>
  <si>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</si>
  <si>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</si>
  <si>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</si>
  <si>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</si>
  <si>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</si>
  <si>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</si>
  <si>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</si>
  <si>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</si>
  <si>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</si>
  <si>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</si>
  <si>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</si>
  <si>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</si>
  <si>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</si>
  <si>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</si>
  <si>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</si>
  <si>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</si>
  <si>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</si>
  <si>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</si>
  <si>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</si>
  <si>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</si>
  <si>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</si>
  <si>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</si>
  <si>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</si>
  <si>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</si>
  <si>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</si>
  <si>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</si>
  <si>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</si>
  <si>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</si>
  <si>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</si>
  <si>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</si>
  <si>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</si>
  <si>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</si>
  <si>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</si>
  <si>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</si>
  <si>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</si>
  <si>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</si>
  <si>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</si>
  <si>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</si>
  <si>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</si>
  <si>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</si>
  <si>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</si>
  <si>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</si>
  <si>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</si>
  <si>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</si>
  <si>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</si>
  <si>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</si>
  <si>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</si>
  <si>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</si>
  <si>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</si>
  <si>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</si>
  <si>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</si>
  <si>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</si>
  <si>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</si>
  <si>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</si>
  <si>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</si>
  <si>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</si>
  <si>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</si>
  <si>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</si>
  <si>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</si>
  <si>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</si>
  <si>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</si>
  <si>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</si>
  <si>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</si>
  <si>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</si>
  <si>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</si>
  <si>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</si>
  <si>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</si>
  <si>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</si>
  <si>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</si>
  <si>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</si>
  <si>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</si>
  <si>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</si>
  <si>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</si>
  <si>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</si>
  <si>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</si>
  <si>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</si>
  <si>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</si>
  <si>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</si>
  <si>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</si>
  <si>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</si>
  <si>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</si>
  <si>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</si>
  <si>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</si>
  <si>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</si>
  <si>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</si>
  <si>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</si>
  <si>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</si>
  <si>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</si>
  <si>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</si>
  <si>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</si>
  <si>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</si>
  <si>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</si>
  <si>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</si>
  <si>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</si>
  <si>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</si>
  <si>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</si>
  <si>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</si>
  <si>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</si>
  <si>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</si>
  <si>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</si>
  <si>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</si>
  <si>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</si>
  <si>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</si>
  <si>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</si>
  <si>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</si>
  <si>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</si>
  <si>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</si>
  <si>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</si>
  <si>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</si>
  <si>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</si>
  <si>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</si>
  <si>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</si>
  <si>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</si>
  <si>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</si>
  <si>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</si>
  <si>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</si>
  <si>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</si>
  <si>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</si>
  <si>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</si>
  <si>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</si>
  <si>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</si>
  <si>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</si>
  <si>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</si>
  <si>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</si>
  <si>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</si>
  <si>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</si>
  <si>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</si>
  <si>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</si>
  <si>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</si>
  <si>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</si>
  <si>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</si>
  <si>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</si>
  <si>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</si>
  <si>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</si>
  <si>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</si>
  <si>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</si>
  <si>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</si>
  <si>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</si>
  <si>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</si>
  <si>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</si>
  <si>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</si>
  <si>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</si>
  <si>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</si>
  <si>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</si>
  <si>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</si>
  <si>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</si>
  <si>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</si>
  <si>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</si>
  <si>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</si>
  <si>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</si>
  <si>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</si>
  <si>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</si>
  <si>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</si>
  <si>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</si>
  <si>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</si>
  <si>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</si>
  <si>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</si>
  <si>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</si>
  <si>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</si>
  <si>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</si>
  <si>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</si>
  <si>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</si>
  <si>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</si>
  <si>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</si>
  <si>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</si>
  <si>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</si>
  <si>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</si>
  <si>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</si>
  <si>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</si>
  <si>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</si>
  <si>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</si>
  <si>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</si>
  <si>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</si>
  <si>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</si>
  <si>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</si>
  <si>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</si>
  <si>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</si>
  <si>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</si>
  <si>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</si>
  <si>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</si>
  <si>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</si>
  <si>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</si>
  <si>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</si>
  <si>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</si>
  <si>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</si>
  <si>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</si>
  <si>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</si>
  <si>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</si>
  <si>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</si>
  <si>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</si>
  <si>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</si>
  <si>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</si>
  <si>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</si>
  <si>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</si>
  <si>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</si>
  <si>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</si>
  <si>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</si>
  <si>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</si>
  <si>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</si>
  <si>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</si>
  <si>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</si>
  <si>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</si>
  <si>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</si>
  <si>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</si>
  <si>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</si>
  <si>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</si>
  <si>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</si>
  <si>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</si>
  <si>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</si>
  <si>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</si>
  <si>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</si>
  <si>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</si>
  <si>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</si>
  <si>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</si>
  <si>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</si>
  <si>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</si>
  <si>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</si>
  <si>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</si>
  <si>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</si>
  <si>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</si>
  <si>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</si>
  <si>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</si>
  <si>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</si>
  <si>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</si>
  <si>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</si>
  <si>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</si>
  <si>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</si>
  <si>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</si>
  <si>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</si>
  <si>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</si>
  <si>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</si>
  <si>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</si>
  <si>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</si>
  <si>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</si>
  <si>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</si>
  <si>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</si>
  <si>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</si>
  <si>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</si>
  <si>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</si>
  <si>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</si>
  <si>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</si>
  <si>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</si>
  <si>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</si>
  <si>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</si>
  <si>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</si>
  <si>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</si>
  <si>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</si>
  <si>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</si>
  <si>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</si>
  <si>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</si>
  <si>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</si>
  <si>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</si>
  <si>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</si>
  <si>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</si>
  <si>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</si>
  <si>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</si>
  <si>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</si>
  <si>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</si>
  <si>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</si>
  <si>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</si>
  <si>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</si>
  <si>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</si>
  <si>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</si>
  <si>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</si>
  <si>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</si>
  <si>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</si>
  <si>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</si>
  <si>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</si>
  <si>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</si>
  <si>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</si>
  <si>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</si>
  <si>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</si>
  <si>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</si>
  <si>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</si>
  <si>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</si>
  <si>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</si>
  <si>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</si>
  <si>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</si>
  <si>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</si>
  <si>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</si>
  <si>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</si>
  <si>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</si>
  <si>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</si>
  <si>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</si>
  <si>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</si>
  <si>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</si>
  <si>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</si>
  <si>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</si>
  <si>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</si>
  <si>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</si>
  <si>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</si>
  <si>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</si>
  <si>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</si>
  <si>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</si>
  <si>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</si>
  <si>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</si>
  <si>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</si>
  <si>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</si>
  <si>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</si>
  <si>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</si>
  <si>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</si>
  <si>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</si>
  <si>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</si>
  <si>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</si>
  <si>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</si>
  <si>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</si>
  <si>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</si>
  <si>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</si>
  <si>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</si>
  <si>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</si>
  <si>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</si>
  <si>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</si>
  <si>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</si>
  <si>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</si>
  <si>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</si>
  <si>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</si>
  <si>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</si>
  <si>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</si>
  <si>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</si>
  <si>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</si>
  <si>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</si>
  <si>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</si>
  <si>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</si>
  <si>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</si>
  <si>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</si>
  <si>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</si>
  <si>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</si>
  <si>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</si>
  <si>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</si>
  <si>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</si>
  <si>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</si>
  <si>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</si>
  <si>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</si>
  <si>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</si>
  <si>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</si>
  <si>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</si>
  <si>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</si>
  <si>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</si>
  <si>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</si>
  <si>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</si>
  <si>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</si>
  <si>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</si>
  <si>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</si>
  <si>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</si>
  <si>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</si>
  <si>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</si>
  <si>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</si>
  <si>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</si>
  <si>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</si>
  <si>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</si>
  <si>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</si>
  <si>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</si>
  <si>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</si>
  <si>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</si>
  <si>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</si>
  <si>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</si>
  <si>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</si>
  <si>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</si>
  <si>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</si>
  <si>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</si>
  <si>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</si>
  <si>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</si>
  <si>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</si>
  <si>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</si>
  <si>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</si>
  <si>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</si>
  <si>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</si>
  <si>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</si>
  <si>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</si>
  <si>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</si>
  <si>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</si>
  <si>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</si>
  <si>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</si>
  <si>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</si>
  <si>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</si>
  <si>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</si>
  <si>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</si>
  <si>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</si>
  <si>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</si>
  <si>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</si>
  <si>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</si>
  <si>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</si>
  <si>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</si>
  <si>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</si>
  <si>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</si>
  <si>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</si>
  <si>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</si>
  <si>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</si>
  <si>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</si>
  <si>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</si>
  <si>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</si>
  <si>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</si>
  <si>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</si>
  <si>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</si>
  <si>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</si>
  <si>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</si>
  <si>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</si>
  <si>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</si>
  <si>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</si>
  <si>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</si>
  <si>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</si>
  <si>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</si>
  <si>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</si>
  <si>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</si>
  <si>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</si>
  <si>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</si>
  <si>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</si>
  <si>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</si>
  <si>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</si>
  <si>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</si>
  <si>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</si>
  <si>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</si>
  <si>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</si>
  <si>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</si>
  <si>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</si>
  <si>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</si>
  <si>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</si>
  <si>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</si>
  <si>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</si>
  <si>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</si>
  <si>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</si>
  <si>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</si>
  <si>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</si>
  <si>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</si>
  <si>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</si>
  <si>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</si>
  <si>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</si>
  <si>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</si>
  <si>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</si>
  <si>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</si>
  <si>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</si>
  <si>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</si>
  <si>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</si>
  <si>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</si>
  <si>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</si>
  <si>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</si>
  <si>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</si>
  <si>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</si>
  <si>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</si>
  <si>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</si>
  <si>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</si>
  <si>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</si>
  <si>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</si>
  <si>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</si>
  <si>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</si>
  <si>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</si>
  <si>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</si>
  <si>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</si>
  <si>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</si>
  <si>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</si>
  <si>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</si>
  <si>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</si>
  <si>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</si>
  <si>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</si>
  <si>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</si>
  <si>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</si>
  <si>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</si>
  <si>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</si>
  <si>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</si>
  <si>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</si>
  <si>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</si>
  <si>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</si>
  <si>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</si>
  <si>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</si>
  <si>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</si>
  <si>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</si>
  <si>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</si>
  <si>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</si>
  <si>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</si>
  <si>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</si>
  <si>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</si>
  <si>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</si>
  <si>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</si>
  <si>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</si>
  <si>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</si>
  <si>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</si>
  <si>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</si>
  <si>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</si>
  <si>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</si>
  <si>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</si>
  <si>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</si>
  <si>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</si>
  <si>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</si>
  <si>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</si>
  <si>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</si>
  <si>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</si>
  <si>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</si>
  <si>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</si>
  <si>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</si>
  <si>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</si>
  <si>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</si>
  <si>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</si>
  <si>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</si>
  <si>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</si>
  <si>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</si>
  <si>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</si>
  <si>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</si>
  <si>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</si>
  <si>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</si>
  <si>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</si>
  <si>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</si>
  <si>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</si>
  <si>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</si>
  <si>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</si>
  <si>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</si>
  <si>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</si>
  <si>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</si>
  <si>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</si>
  <si>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</si>
  <si>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</si>
  <si>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</si>
  <si>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</si>
  <si>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</si>
  <si>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</si>
  <si>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</si>
  <si>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</si>
  <si>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</si>
  <si>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</si>
  <si>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</si>
  <si>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</si>
  <si>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</si>
  <si>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</si>
  <si>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</si>
  <si>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</si>
  <si>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</si>
  <si>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</si>
  <si>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</si>
  <si>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</si>
  <si>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</si>
  <si>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</si>
  <si>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</si>
  <si>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</si>
  <si>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</si>
  <si>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</si>
  <si>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</si>
  <si>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</si>
  <si>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</si>
  <si>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</si>
  <si>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</si>
  <si>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</si>
  <si>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</si>
  <si>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</si>
  <si>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</si>
  <si>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</si>
  <si>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</si>
  <si>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</si>
  <si>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</si>
  <si>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</si>
  <si>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</si>
  <si>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</si>
  <si>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</si>
  <si>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</si>
  <si>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</si>
  <si>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</si>
  <si>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</si>
  <si>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</si>
  <si>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</si>
  <si>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</si>
  <si>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</si>
  <si>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</si>
  <si>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</si>
  <si>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</si>
  <si>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</si>
  <si>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</si>
  <si>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</si>
  <si>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</si>
  <si>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</si>
  <si>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</si>
  <si>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</si>
  <si>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</si>
  <si>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</si>
  <si>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</si>
  <si>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</si>
  <si>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</si>
  <si>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</si>
  <si>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</si>
  <si>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</si>
  <si>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</si>
  <si>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</si>
  <si>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</si>
  <si>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</si>
  <si>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</si>
  <si>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</si>
  <si>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</si>
  <si>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</si>
  <si>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</si>
  <si>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</si>
  <si>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</si>
  <si>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</si>
  <si>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</si>
  <si>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</si>
  <si>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</si>
  <si>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</si>
  <si>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</si>
  <si>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</si>
  <si>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</si>
  <si>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</si>
  <si>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</si>
  <si>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</si>
  <si>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</si>
  <si>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</si>
  <si>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</si>
  <si>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</si>
  <si>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</si>
  <si>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</si>
  <si>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</si>
  <si>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</si>
  <si>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</si>
  <si>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</si>
  <si>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</si>
  <si>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</si>
  <si>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</si>
  <si>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</si>
  <si>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</si>
  <si>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</si>
  <si>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</si>
  <si>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</si>
  <si>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</si>
  <si>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</si>
  <si>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</si>
  <si>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</si>
  <si>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</si>
  <si>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</si>
  <si>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</si>
  <si>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</si>
  <si>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</si>
  <si>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</si>
  <si>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</si>
  <si>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</si>
  <si>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</si>
  <si>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</si>
  <si>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</si>
  <si>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</si>
  <si>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</si>
  <si>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</si>
  <si>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</si>
  <si>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</si>
  <si>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</si>
  <si>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</si>
  <si>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</si>
  <si>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</si>
  <si>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</si>
  <si>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</si>
  <si>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</si>
  <si>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</si>
  <si>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</si>
  <si>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</si>
  <si>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</si>
  <si>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</si>
  <si>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</si>
  <si>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</si>
  <si>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</si>
  <si>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</si>
  <si>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</si>
  <si>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</si>
  <si>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</si>
  <si>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</si>
  <si>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</si>
  <si>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</si>
  <si>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</si>
  <si>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</si>
  <si>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</si>
  <si>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</si>
  <si>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</si>
  <si>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</si>
  <si>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</si>
  <si>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</si>
  <si>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</si>
  <si>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</si>
  <si>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</si>
  <si>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</si>
  <si>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</si>
  <si>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</si>
  <si>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</si>
  <si>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</si>
  <si>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</si>
  <si>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</si>
  <si>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</si>
  <si>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</si>
  <si>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</si>
  <si>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</si>
  <si>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</si>
  <si>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</si>
  <si>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</si>
  <si>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</si>
  <si>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</si>
  <si>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</si>
  <si>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</si>
  <si>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</si>
  <si>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</si>
  <si>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</si>
  <si>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</si>
  <si>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</si>
  <si>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</si>
  <si>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</si>
  <si>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</si>
  <si>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</si>
  <si>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</si>
  <si>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</si>
  <si>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</si>
  <si>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</si>
  <si>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</si>
  <si>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</si>
  <si>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</si>
  <si>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</si>
  <si>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</si>
  <si>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</si>
  <si>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</si>
  <si>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</si>
  <si>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</si>
  <si>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</si>
  <si>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</si>
  <si>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</si>
  <si>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</si>
  <si>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</si>
  <si>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</si>
  <si>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</si>
  <si>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</si>
  <si>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</si>
  <si>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</si>
  <si>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</si>
  <si>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</si>
  <si>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</si>
  <si>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</si>
  <si>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</si>
  <si>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</si>
  <si>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</si>
  <si>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</si>
  <si>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</si>
  <si>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</si>
  <si>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</si>
  <si>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</si>
  <si>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</si>
  <si>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</si>
  <si>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</si>
  <si>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</si>
  <si>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</si>
  <si>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</si>
  <si>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</si>
  <si>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</si>
  <si>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</si>
  <si>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</si>
  <si>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</si>
  <si>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</si>
  <si>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</si>
  <si>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</si>
  <si>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</si>
  <si>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</si>
  <si>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</si>
  <si>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</si>
  <si>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</si>
  <si>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</si>
  <si>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</si>
  <si>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</si>
  <si>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</si>
  <si>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</si>
  <si>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</si>
  <si>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</si>
  <si>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</si>
  <si>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</si>
  <si>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</si>
  <si>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</si>
  <si>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</si>
  <si>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</si>
  <si>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</si>
  <si>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</si>
  <si>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</si>
  <si>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</si>
  <si>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</si>
  <si>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</si>
  <si>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</si>
  <si>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</si>
  <si>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</si>
  <si>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</si>
  <si>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</si>
  <si>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</si>
  <si>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</si>
  <si>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</si>
  <si>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</si>
  <si>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</si>
  <si>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</si>
  <si>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</si>
  <si>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</si>
  <si>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</si>
  <si>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</si>
  <si>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</si>
  <si>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</si>
  <si>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</si>
  <si>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</si>
  <si>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</si>
  <si>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</si>
  <si>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</si>
  <si>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</si>
  <si>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</si>
  <si>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</si>
  <si>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</si>
  <si>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</si>
  <si>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</si>
  <si>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</si>
  <si>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</si>
  <si>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</si>
  <si>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</si>
  <si>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</si>
  <si>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</si>
  <si>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</si>
  <si>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</si>
  <si>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</si>
  <si>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</si>
  <si>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</si>
  <si>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</si>
  <si>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</si>
  <si>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</si>
  <si>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</si>
  <si>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</si>
  <si>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</si>
  <si>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</si>
  <si>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</si>
  <si>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</si>
  <si>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</si>
  <si>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</si>
  <si>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</si>
  <si>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</si>
  <si>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</si>
  <si>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</si>
  <si>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</si>
  <si>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</si>
  <si>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</si>
  <si>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</si>
  <si>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</si>
  <si>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</si>
  <si>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</si>
  <si>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</si>
  <si>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</si>
  <si>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</si>
  <si>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</si>
  <si>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</si>
  <si>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</si>
  <si>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</si>
  <si>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</si>
  <si>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</si>
  <si>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</si>
  <si>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</si>
  <si>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</si>
  <si>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</si>
  <si>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</si>
  <si>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</si>
  <si>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</si>
  <si>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</si>
  <si>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</si>
  <si>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</si>
  <si>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</si>
  <si>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</si>
  <si>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</si>
  <si>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</si>
  <si>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</si>
  <si>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</si>
  <si>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</si>
  <si>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</si>
  <si>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</si>
  <si>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</si>
  <si>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</si>
  <si>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</si>
  <si>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</si>
  <si>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</si>
  <si>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</si>
  <si>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</si>
  <si>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</si>
  <si>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</si>
  <si>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</si>
  <si>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</si>
  <si>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</si>
  <si>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</si>
  <si>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</si>
  <si>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</si>
  <si>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</si>
  <si>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</si>
  <si>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</si>
  <si>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</si>
  <si>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</si>
  <si>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</si>
  <si>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</si>
  <si>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</si>
  <si>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</si>
  <si>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</si>
  <si>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</si>
  <si>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</si>
  <si>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</si>
  <si>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</si>
  <si>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</si>
  <si>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</si>
  <si>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</si>
  <si>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</si>
  <si>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</si>
  <si>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</si>
  <si>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</si>
  <si>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</si>
  <si>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</si>
  <si>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</si>
  <si>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</si>
  <si>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</si>
  <si>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</si>
  <si>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</si>
  <si>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</si>
  <si>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</si>
  <si>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</si>
  <si>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</si>
  <si>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</si>
  <si>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</si>
  <si>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</si>
  <si>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</si>
  <si>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</si>
  <si>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</si>
  <si>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</si>
  <si>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</si>
  <si>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</si>
  <si>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</si>
  <si>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</si>
  <si>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</si>
  <si>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</si>
  <si>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</si>
  <si>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</si>
  <si>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</si>
  <si>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</si>
  <si>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</si>
  <si>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</si>
  <si>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</si>
  <si>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</si>
  <si>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</si>
  <si>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</si>
  <si>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</si>
  <si>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</si>
  <si>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</si>
  <si>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</si>
  <si>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</si>
  <si>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</si>
  <si>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</si>
  <si>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</si>
  <si>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</si>
  <si>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</si>
  <si>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</si>
  <si>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</si>
  <si>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</si>
  <si>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</si>
  <si>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</si>
  <si>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</si>
  <si>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</si>
  <si>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</si>
  <si>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</si>
  <si>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</si>
  <si>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</si>
  <si>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</si>
  <si>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</si>
  <si>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</si>
  <si>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</si>
  <si>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</si>
  <si>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</si>
  <si>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</si>
  <si>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</si>
  <si>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</si>
  <si>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</si>
  <si>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</si>
  <si>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</si>
  <si>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</si>
  <si>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</si>
  <si>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</si>
  <si>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</si>
  <si>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</si>
  <si>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</si>
  <si>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</si>
  <si>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</si>
  <si>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</si>
  <si>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</si>
  <si>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</si>
  <si>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</si>
  <si>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</si>
  <si>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</si>
  <si>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</si>
  <si>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</si>
  <si>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</si>
  <si>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</si>
  <si>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</si>
  <si>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</si>
  <si>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</si>
  <si>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</si>
  <si>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</si>
  <si>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</si>
  <si>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</si>
  <si>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</si>
  <si>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</si>
  <si>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</si>
  <si>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</si>
  <si>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</si>
  <si>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</si>
  <si>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</si>
  <si>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</si>
  <si>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</si>
  <si>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</si>
  <si>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</si>
  <si>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</si>
  <si>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</si>
  <si>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</si>
  <si>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</si>
  <si>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</si>
  <si>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</si>
  <si>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</si>
  <si>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</si>
  <si>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</si>
  <si>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</si>
  <si>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</si>
  <si>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</si>
  <si>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</si>
  <si>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</si>
  <si>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</si>
  <si>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</si>
  <si>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</si>
  <si>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</si>
  <si>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</si>
  <si>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</si>
  <si>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</si>
  <si>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</si>
  <si>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</si>
  <si>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</si>
  <si>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</si>
  <si>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</si>
  <si>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</si>
  <si>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</si>
  <si>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</si>
  <si>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</si>
  <si>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</si>
  <si>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</si>
  <si>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</si>
  <si>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</si>
  <si>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</si>
  <si>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</si>
  <si>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</si>
  <si>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</si>
  <si>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</si>
  <si>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</si>
  <si>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</si>
  <si>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</si>
  <si>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</si>
  <si>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</si>
  <si>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</si>
  <si>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</si>
  <si>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</si>
  <si>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</si>
  <si>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</si>
  <si>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</si>
  <si>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</si>
  <si>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</si>
  <si>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</si>
  <si>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</si>
  <si>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</si>
  <si>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</si>
  <si>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</si>
  <si>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</si>
  <si>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</si>
  <si>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</si>
  <si>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</si>
  <si>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</si>
  <si>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</si>
  <si>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</si>
  <si>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</si>
  <si>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</si>
  <si>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</si>
  <si>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</si>
  <si>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</si>
  <si>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</si>
  <si>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</si>
  <si>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</si>
  <si>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</si>
  <si>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</si>
  <si>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</si>
  <si>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</si>
  <si>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</si>
  <si>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</si>
  <si>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</si>
  <si>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</si>
  <si>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</si>
  <si>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</si>
  <si>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</si>
  <si>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</si>
  <si>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</si>
  <si>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</si>
  <si>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</si>
  <si>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</si>
  <si>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</si>
  <si>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</si>
  <si>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</si>
  <si>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</si>
  <si>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</si>
  <si>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</si>
  <si>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</si>
  <si>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</si>
  <si>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</si>
  <si>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</si>
  <si>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</si>
  <si>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</si>
  <si>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</si>
  <si>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</si>
  <si>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</si>
  <si>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</si>
  <si>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</si>
  <si>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</si>
  <si>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</si>
  <si>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</si>
  <si>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</si>
  <si>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</si>
  <si>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</si>
  <si>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</si>
  <si>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</si>
  <si>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</si>
  <si>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</si>
  <si>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</si>
  <si>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</si>
  <si>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</si>
  <si>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</si>
  <si>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</si>
  <si>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</si>
  <si>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</si>
  <si>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</si>
  <si>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</si>
  <si>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</si>
  <si>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</si>
  <si>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</si>
  <si>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</si>
  <si>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</si>
  <si>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</si>
  <si>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</si>
  <si>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</si>
  <si>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</si>
  <si>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</si>
  <si>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</si>
  <si>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</si>
  <si>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</si>
  <si>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</si>
  <si>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</si>
  <si>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</si>
  <si>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</si>
  <si>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</si>
  <si>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</si>
  <si>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</si>
  <si>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</si>
  <si>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</si>
  <si>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</si>
  <si>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</si>
  <si>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</si>
  <si>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</si>
  <si>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</si>
  <si>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</si>
  <si>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</si>
  <si>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</si>
  <si>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</si>
  <si>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</si>
  <si>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</si>
  <si>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</si>
  <si>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</si>
  <si>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</si>
  <si>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</si>
  <si>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</si>
  <si>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</si>
  <si>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</si>
  <si>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</si>
  <si>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</si>
  <si>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</si>
  <si>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</si>
  <si>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</si>
  <si>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</si>
  <si>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</si>
  <si>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</si>
  <si>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</si>
  <si>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</si>
  <si>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</si>
  <si>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</si>
  <si>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</si>
  <si>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</si>
  <si>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</si>
  <si>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</si>
  <si>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</si>
  <si>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</si>
  <si>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</si>
  <si>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</si>
  <si>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</si>
  <si>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</si>
  <si>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</si>
  <si>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</si>
  <si>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</si>
  <si>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</si>
  <si>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</si>
  <si>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</si>
  <si>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</si>
  <si>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</si>
  <si>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</si>
  <si>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</si>
  <si>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</si>
  <si>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</si>
  <si>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</si>
  <si>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</si>
  <si>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</si>
  <si>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</si>
  <si>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</si>
  <si>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</si>
  <si>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</si>
  <si>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</si>
  <si>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</si>
  <si>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</si>
  <si>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</si>
  <si>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</si>
  <si>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</si>
  <si>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</si>
  <si>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</si>
  <si>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</si>
  <si>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</si>
  <si>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</si>
  <si>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</si>
  <si>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</si>
  <si>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</si>
  <si>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</si>
  <si>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</si>
  <si>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</si>
  <si>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</si>
  <si>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</si>
  <si>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</si>
  <si>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</si>
  <si>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</si>
  <si>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</si>
  <si>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</si>
  <si>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</si>
  <si>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</si>
  <si>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</si>
  <si>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</si>
  <si>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</si>
  <si>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</si>
  <si>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</si>
  <si>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</si>
  <si>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</si>
  <si>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</si>
  <si>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</si>
  <si>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</si>
  <si>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</si>
  <si>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</si>
  <si>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</si>
  <si>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</si>
  <si>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</si>
  <si>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</si>
  <si>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</si>
  <si>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</si>
  <si>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</si>
  <si>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</si>
  <si>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</si>
  <si>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</si>
  <si>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</si>
  <si>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</si>
  <si>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</si>
  <si>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</si>
  <si>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</si>
  <si>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</si>
  <si>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</si>
  <si>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</si>
  <si>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</si>
  <si>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</si>
  <si>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</si>
  <si>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</si>
  <si>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</si>
  <si>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</si>
  <si>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</si>
  <si>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</si>
  <si>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</si>
  <si>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</si>
  <si>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</si>
  <si>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</si>
  <si>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</si>
  <si>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</si>
  <si>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</si>
  <si>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</si>
  <si>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</si>
  <si>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</si>
  <si>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</si>
  <si>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</si>
  <si>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</si>
  <si>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</si>
  <si>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</si>
  <si>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</si>
  <si>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</si>
  <si>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</si>
  <si>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</si>
  <si>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</si>
  <si>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</si>
  <si>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</si>
  <si>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</si>
  <si>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</si>
  <si>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</si>
  <si>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</si>
  <si>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</si>
  <si>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</si>
  <si>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</si>
  <si>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</si>
  <si>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</si>
  <si>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</si>
  <si>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</si>
  <si>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</si>
  <si>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</si>
  <si>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</si>
  <si>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</si>
  <si>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</si>
  <si>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</si>
  <si>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</si>
  <si>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</si>
  <si>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</si>
  <si>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</si>
  <si>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</si>
  <si>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</si>
  <si>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</si>
  <si>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</si>
  <si>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</si>
  <si>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</si>
  <si>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</si>
  <si>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</si>
  <si>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</si>
  <si>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</si>
  <si>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</si>
  <si>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</si>
  <si>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</si>
  <si>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</si>
  <si>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</si>
  <si>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</si>
  <si>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</si>
  <si>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</si>
  <si>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</si>
  <si>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</si>
  <si>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</si>
  <si>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</si>
  <si>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</si>
  <si>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</si>
  <si>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</si>
  <si>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</si>
  <si>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</si>
  <si>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</si>
  <si>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</si>
  <si>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</si>
  <si>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</si>
  <si>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</si>
  <si>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GAGGIONE SAS</t>
  </si>
  <si>
    <t>DUNS 27787219</t>
  </si>
  <si>
    <t>DUNS</t>
  </si>
  <si>
    <t>3, Rue de la Rolland 01460 MONTREAL LA CLUSE France</t>
  </si>
  <si>
    <t>Mr VIVIANT</t>
  </si>
  <si>
    <t>j,viviant@gaggione.com</t>
  </si>
  <si>
    <t>+33 (0)4 74 76 12 66</t>
  </si>
  <si>
    <t>Mr Viviant</t>
  </si>
  <si>
    <t>Quality Manager</t>
  </si>
  <si>
    <t>Request supplier declaration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</si>
</sst>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70" fontId="80" fillId="0" borderId="0" applyNumberFormat="0" applyFill="0" applyBorder="0" applyAlignment="0" applyProtection="0"/>
    <xf numFmtId="0" fontId="81" fillId="0" borderId="0" applyNumberFormat="0" applyFill="0" applyBorder="0" applyAlignment="0" applyProtection="0"/>
    <xf numFmtId="170" fontId="80" fillId="0" borderId="0" applyNumberFormat="0" applyFill="0" applyBorder="0" applyAlignment="0" applyProtection="0">
      <alignment vertical="top"/>
      <protection locked="0"/>
    </xf>
    <xf numFmtId="170"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70"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70" fontId="86" fillId="0" borderId="0"/>
    <xf numFmtId="0" fontId="6" fillId="0" borderId="0"/>
    <xf numFmtId="0" fontId="6" fillId="0" borderId="0"/>
    <xf numFmtId="170"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70" fontId="86" fillId="0" borderId="0"/>
    <xf numFmtId="0" fontId="5" fillId="0" borderId="0"/>
    <xf numFmtId="170" fontId="6" fillId="0" borderId="0"/>
    <xf numFmtId="0" fontId="69" fillId="0" borderId="0"/>
    <xf numFmtId="0" fontId="69" fillId="0" borderId="0"/>
    <xf numFmtId="170" fontId="5" fillId="0" borderId="0"/>
    <xf numFmtId="0" fontId="69" fillId="0" borderId="0"/>
    <xf numFmtId="0" fontId="5" fillId="0" borderId="0"/>
    <xf numFmtId="0" fontId="69" fillId="0" borderId="0"/>
    <xf numFmtId="0" fontId="87" fillId="0" borderId="0">
      <alignment vertical="center"/>
    </xf>
    <xf numFmtId="170"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70" fontId="86" fillId="0" borderId="0"/>
    <xf numFmtId="170"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70" fontId="10" fillId="0" borderId="0"/>
    <xf numFmtId="0" fontId="6" fillId="0" borderId="0"/>
    <xf numFmtId="0" fontId="6" fillId="0" borderId="0"/>
    <xf numFmtId="0" fontId="6" fillId="0" borderId="0"/>
    <xf numFmtId="170"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70"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7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2"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70"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70" fontId="0" fillId="2" borderId="4" xfId="0" applyNumberFormat="1" applyFont="1" applyFill="1" applyBorder="1" applyAlignment="1">
      <alignment vertical="top" wrapText="1"/>
    </xf>
    <xf numFmtId="170" fontId="0" fillId="2" borderId="0" xfId="0" applyNumberFormat="1" applyFont="1" applyFill="1" applyBorder="1" applyAlignment="1"/>
    <xf numFmtId="170" fontId="9" fillId="2" borderId="0" xfId="0" applyNumberFormat="1" applyFont="1" applyFill="1" applyBorder="1"/>
    <xf numFmtId="170" fontId="14" fillId="2" borderId="0" xfId="0" applyNumberFormat="1" applyFont="1" applyFill="1" applyBorder="1" applyAlignment="1">
      <alignment horizontal="center" vertical="center" wrapText="1"/>
    </xf>
    <xf numFmtId="170" fontId="11" fillId="2" borderId="0" xfId="0" applyNumberFormat="1" applyFont="1" applyFill="1" applyBorder="1" applyAlignment="1">
      <alignment horizontal="center" vertical="center"/>
    </xf>
    <xf numFmtId="170" fontId="0" fillId="2" borderId="0" xfId="0" applyNumberFormat="1" applyFont="1" applyFill="1" applyBorder="1"/>
    <xf numFmtId="170" fontId="27" fillId="2" borderId="11"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2"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9" fillId="0" borderId="0" xfId="0" applyFont="1" applyAlignment="1">
      <alignment vertical="center" wrapText="1"/>
    </xf>
    <xf numFmtId="170" fontId="96" fillId="0" borderId="0" xfId="480" applyFont="1" applyFill="1" applyAlignment="1">
      <alignment horizontal="left" vertical="center" wrapText="1"/>
    </xf>
    <xf numFmtId="0" fontId="0" fillId="0" borderId="0" xfId="0" applyFill="1" applyAlignment="1">
      <alignment vertical="center"/>
    </xf>
    <xf numFmtId="0" fontId="110"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1" fillId="0" borderId="0" xfId="0" applyFont="1" applyAlignment="1">
      <alignment vertical="center" wrapText="1"/>
    </xf>
    <xf numFmtId="170" fontId="97" fillId="0" borderId="0" xfId="480" applyFont="1" applyFill="1" applyAlignment="1">
      <alignment vertical="center" wrapText="1"/>
    </xf>
    <xf numFmtId="0" fontId="96" fillId="0" borderId="0" xfId="0" applyFont="1" applyFill="1" applyAlignment="1">
      <alignment vertical="center" wrapText="1"/>
    </xf>
    <xf numFmtId="0" fontId="112"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3"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4"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70" fontId="96" fillId="0" borderId="0" xfId="480" applyFont="1" applyFill="1" applyAlignment="1">
      <alignment vertical="center" wrapText="1"/>
    </xf>
    <xf numFmtId="0" fontId="55" fillId="0" borderId="0" xfId="0" applyFont="1" applyFill="1" applyAlignment="1">
      <alignment horizontal="left" vertical="center" wrapText="1"/>
    </xf>
    <xf numFmtId="0" fontId="116"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70"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2" fillId="0" borderId="0" xfId="0" applyNumberFormat="1" applyFont="1" applyAlignment="1">
      <alignment horizontal="left" vertical="center" wrapText="1"/>
    </xf>
    <xf numFmtId="9" fontId="120"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3"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20"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1"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20" fillId="0" borderId="0" xfId="502" applyFont="1" applyFill="1" applyAlignment="1">
      <alignment horizontal="left" vertical="center" wrapText="1"/>
    </xf>
    <xf numFmtId="170"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70" fontId="96" fillId="0" borderId="0" xfId="480" applyFont="1" applyFill="1" applyBorder="1" applyAlignment="1">
      <alignment vertical="center" wrapText="1"/>
    </xf>
    <xf numFmtId="0" fontId="106"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70"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4" fillId="0" borderId="0" xfId="527" applyFont="1" applyFill="1" applyAlignment="1">
      <alignment horizontal="left" vertical="center" wrapText="1"/>
    </xf>
    <xf numFmtId="170" fontId="6" fillId="0" borderId="0" xfId="480" applyAlignment="1">
      <alignment vertical="center"/>
    </xf>
    <xf numFmtId="0" fontId="125"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70" fontId="25" fillId="0" borderId="42" xfId="570" applyNumberFormat="1" applyFont="1" applyFill="1" applyBorder="1" applyAlignment="1">
      <alignment horizontal="center" vertical="top" wrapText="1"/>
    </xf>
    <xf numFmtId="170" fontId="25" fillId="0" borderId="43" xfId="570" applyNumberFormat="1" applyFont="1" applyFill="1" applyBorder="1" applyAlignment="1">
      <alignment horizontal="center" vertical="top" wrapText="1"/>
    </xf>
    <xf numFmtId="170"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70" fontId="25" fillId="2" borderId="42" xfId="570" applyNumberFormat="1" applyFont="1" applyFill="1" applyBorder="1" applyAlignment="1">
      <alignment horizontal="center" vertical="top" wrapText="1"/>
    </xf>
    <xf numFmtId="170" fontId="25" fillId="2" borderId="43" xfId="570" applyNumberFormat="1" applyFont="1" applyFill="1" applyBorder="1" applyAlignment="1">
      <alignment horizontal="center" vertical="top" wrapText="1"/>
    </xf>
    <xf numFmtId="170"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71" fontId="14" fillId="2" borderId="25" xfId="0" applyNumberFormat="1" applyFont="1" applyFill="1" applyBorder="1" applyAlignment="1" applyProtection="1">
      <alignment horizontal="center" wrapText="1"/>
      <protection locked="0"/>
    </xf>
    <xf numFmtId="171"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xf>
    <xf numFmtId="49" fontId="105" fillId="2" borderId="1" xfId="0" applyNumberFormat="1" applyFont="1" applyFill="1" applyBorder="1" applyAlignment="1" applyProtection="1">
      <alignment horizontal="left" vertical="center" wrapText="1"/>
      <protection locked="0"/>
    </xf>
    <xf numFmtId="49" fontId="105"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3">
    <dxf>
      <fill>
        <patternFill>
          <bgColor indexed="13"/>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13" activePane="bottomRight" state="frozen"/>
      <selection activeCell="A2" sqref="A2"/>
      <selection pane="topRight" activeCell="B2" sqref="B2"/>
      <selection pane="bottomLeft" activeCell="A13" sqref="A13"/>
      <selection pane="bottomRight" activeCell="D26" sqref="D26:D36"/>
    </sheetView>
  </sheetViews>
  <sheetFormatPr baseColWidth="10" defaultColWidth="9" defaultRowHeight="12.6"/>
  <cols>
    <col min="1" max="1" width="0.90625" style="117" customWidth="1"/>
    <col min="2" max="2" width="6.90625" style="117" customWidth="1"/>
    <col min="3" max="3" width="8.453125" style="117" customWidth="1"/>
    <col min="4" max="4" width="13" style="214" customWidth="1"/>
    <col min="5" max="5" width="42.36328125" style="117" customWidth="1"/>
    <col min="6" max="6" width="53.36328125" style="117" customWidth="1"/>
    <col min="7" max="7" width="0.90625" style="117" customWidth="1"/>
    <col min="8" max="16384" width="9" style="117"/>
  </cols>
  <sheetData>
    <row r="1" spans="1:7" ht="13.2" thickTop="1">
      <c r="A1" s="9"/>
      <c r="B1" s="10"/>
      <c r="C1" s="10"/>
      <c r="D1" s="206"/>
      <c r="E1" s="10"/>
      <c r="F1" s="10"/>
      <c r="G1" s="11"/>
    </row>
    <row r="2" spans="1:7">
      <c r="A2" s="362"/>
      <c r="B2" s="38" t="s">
        <v>963</v>
      </c>
      <c r="C2" s="36"/>
      <c r="D2" s="207"/>
      <c r="E2" s="3"/>
      <c r="F2" s="36"/>
      <c r="G2" s="34"/>
    </row>
    <row r="3" spans="1:7">
      <c r="A3" s="362"/>
      <c r="B3" s="5" t="s">
        <v>952</v>
      </c>
      <c r="C3" s="6"/>
      <c r="D3" s="208"/>
      <c r="E3" s="3"/>
      <c r="F3" s="6"/>
      <c r="G3" s="34"/>
    </row>
    <row r="4" spans="1:7" ht="15">
      <c r="A4" s="362"/>
      <c r="B4" s="41" t="s">
        <v>965</v>
      </c>
      <c r="C4" s="7"/>
      <c r="D4" s="209"/>
      <c r="E4" s="3"/>
      <c r="F4" s="7"/>
      <c r="G4" s="34"/>
    </row>
    <row r="5" spans="1:7" ht="13.2">
      <c r="A5" s="362"/>
      <c r="B5" s="40" t="s">
        <v>1157</v>
      </c>
      <c r="C5" s="4"/>
      <c r="D5" s="210"/>
      <c r="E5" s="3"/>
      <c r="F5" s="4"/>
      <c r="G5" s="34"/>
    </row>
    <row r="6" spans="1:7">
      <c r="A6" s="362"/>
      <c r="B6" s="8"/>
      <c r="C6" s="8"/>
      <c r="D6" s="211"/>
      <c r="E6" s="8"/>
      <c r="F6" s="8"/>
      <c r="G6" s="34"/>
    </row>
    <row r="7" spans="1:7">
      <c r="A7" s="362"/>
      <c r="B7" s="8"/>
      <c r="C7" s="8"/>
      <c r="D7" s="211"/>
      <c r="E7" s="8"/>
      <c r="F7" s="8"/>
      <c r="G7" s="34"/>
    </row>
    <row r="8" spans="1:7">
      <c r="A8" s="362"/>
      <c r="B8" s="8"/>
      <c r="C8" s="8"/>
      <c r="D8" s="211"/>
      <c r="E8" s="8"/>
      <c r="F8" s="8"/>
      <c r="G8" s="34"/>
    </row>
    <row r="9" spans="1:7">
      <c r="A9" s="362"/>
      <c r="B9" s="365" t="s">
        <v>966</v>
      </c>
      <c r="C9" s="365"/>
      <c r="D9" s="365"/>
      <c r="E9" s="365"/>
      <c r="F9" s="365"/>
      <c r="G9" s="34"/>
    </row>
    <row r="10" spans="1:7" ht="27" customHeight="1">
      <c r="A10" s="362"/>
      <c r="B10" s="366" t="s">
        <v>506</v>
      </c>
      <c r="C10" s="366"/>
      <c r="D10" s="366"/>
      <c r="E10" s="366"/>
      <c r="F10" s="366"/>
      <c r="G10" s="34"/>
    </row>
    <row r="11" spans="1:7" ht="27" customHeight="1">
      <c r="A11" s="362"/>
      <c r="B11" s="367"/>
      <c r="C11" s="367"/>
      <c r="D11" s="367"/>
      <c r="E11" s="367"/>
      <c r="F11" s="367"/>
      <c r="G11" s="34"/>
    </row>
    <row r="12" spans="1:7">
      <c r="A12" s="362"/>
      <c r="B12" s="42" t="s">
        <v>964</v>
      </c>
      <c r="C12" s="43" t="s">
        <v>967</v>
      </c>
      <c r="D12" s="212" t="s">
        <v>968</v>
      </c>
      <c r="E12" s="43" t="s">
        <v>701</v>
      </c>
      <c r="F12" s="43" t="s">
        <v>702</v>
      </c>
      <c r="G12" s="34"/>
    </row>
    <row r="13" spans="1:7" ht="20.399999999999999">
      <c r="A13" s="362"/>
      <c r="B13" s="2">
        <v>1</v>
      </c>
      <c r="C13" s="37" t="s">
        <v>1208</v>
      </c>
      <c r="D13" s="39" t="s">
        <v>992</v>
      </c>
      <c r="E13" s="196" t="s">
        <v>969</v>
      </c>
      <c r="F13" s="196"/>
      <c r="G13" s="34"/>
    </row>
    <row r="14" spans="1:7" ht="30.6">
      <c r="A14" s="362"/>
      <c r="B14" s="2">
        <v>2</v>
      </c>
      <c r="C14" s="37" t="s">
        <v>1208</v>
      </c>
      <c r="D14" s="39" t="s">
        <v>1142</v>
      </c>
      <c r="E14" s="196" t="s">
        <v>602</v>
      </c>
      <c r="F14" s="196" t="s">
        <v>603</v>
      </c>
      <c r="G14" s="34"/>
    </row>
    <row r="15" spans="1:7" ht="89.1" customHeight="1">
      <c r="A15" s="362"/>
      <c r="B15" s="347">
        <v>2.0099999999999998</v>
      </c>
      <c r="C15" s="359" t="s">
        <v>1208</v>
      </c>
      <c r="D15" s="368" t="s">
        <v>2686</v>
      </c>
      <c r="E15" s="197" t="s">
        <v>703</v>
      </c>
      <c r="F15" s="197" t="s">
        <v>706</v>
      </c>
      <c r="G15" s="34"/>
    </row>
    <row r="16" spans="1:7" ht="99" customHeight="1">
      <c r="A16" s="362"/>
      <c r="B16" s="348"/>
      <c r="C16" s="360"/>
      <c r="D16" s="369"/>
      <c r="E16" s="198"/>
      <c r="F16" s="198" t="s">
        <v>704</v>
      </c>
      <c r="G16" s="34"/>
    </row>
    <row r="17" spans="1:7" ht="63" customHeight="1">
      <c r="A17" s="362"/>
      <c r="B17" s="349"/>
      <c r="C17" s="361"/>
      <c r="D17" s="370"/>
      <c r="E17" s="37"/>
      <c r="F17" s="37" t="s">
        <v>705</v>
      </c>
      <c r="G17" s="34"/>
    </row>
    <row r="18" spans="1:7" ht="117" customHeight="1">
      <c r="A18" s="362"/>
      <c r="B18" s="347">
        <v>2.02</v>
      </c>
      <c r="C18" s="359" t="s">
        <v>1208</v>
      </c>
      <c r="D18" s="368" t="s">
        <v>2687</v>
      </c>
      <c r="E18" s="197" t="s">
        <v>507</v>
      </c>
      <c r="F18" s="197" t="s">
        <v>596</v>
      </c>
      <c r="G18" s="34"/>
    </row>
    <row r="19" spans="1:7" ht="71.099999999999994" customHeight="1">
      <c r="A19" s="362"/>
      <c r="B19" s="348"/>
      <c r="C19" s="360"/>
      <c r="D19" s="369"/>
      <c r="E19" s="198" t="s">
        <v>601</v>
      </c>
      <c r="F19" s="198" t="s">
        <v>508</v>
      </c>
      <c r="G19" s="34"/>
    </row>
    <row r="20" spans="1:7" ht="90.75" customHeight="1">
      <c r="A20" s="362"/>
      <c r="B20" s="348"/>
      <c r="C20" s="360"/>
      <c r="D20" s="369"/>
      <c r="E20" s="198"/>
      <c r="F20" s="198" t="s">
        <v>708</v>
      </c>
      <c r="G20" s="34"/>
    </row>
    <row r="21" spans="1:7" ht="74.25" customHeight="1">
      <c r="A21" s="362"/>
      <c r="B21" s="349"/>
      <c r="C21" s="361"/>
      <c r="D21" s="370"/>
      <c r="E21" s="37"/>
      <c r="F21" s="37" t="s">
        <v>707</v>
      </c>
      <c r="G21" s="34"/>
    </row>
    <row r="22" spans="1:7" ht="90" customHeight="1">
      <c r="A22" s="362"/>
      <c r="B22" s="353">
        <v>2.0299999999999998</v>
      </c>
      <c r="C22" s="353" t="s">
        <v>935</v>
      </c>
      <c r="D22" s="356" t="s">
        <v>2688</v>
      </c>
      <c r="E22" s="359" t="s">
        <v>505</v>
      </c>
      <c r="F22" s="197" t="s">
        <v>529</v>
      </c>
      <c r="G22" s="34"/>
    </row>
    <row r="23" spans="1:7" ht="109.5" customHeight="1">
      <c r="A23" s="362"/>
      <c r="B23" s="354"/>
      <c r="C23" s="354"/>
      <c r="D23" s="357"/>
      <c r="E23" s="360"/>
      <c r="F23" s="198" t="s">
        <v>936</v>
      </c>
      <c r="G23" s="34"/>
    </row>
    <row r="24" spans="1:7" ht="74.25" customHeight="1">
      <c r="A24" s="362"/>
      <c r="B24" s="355"/>
      <c r="C24" s="355"/>
      <c r="D24" s="358"/>
      <c r="E24" s="361"/>
      <c r="F24" s="37" t="s">
        <v>504</v>
      </c>
      <c r="G24" s="34"/>
    </row>
    <row r="25" spans="1:7" ht="72" customHeight="1">
      <c r="A25" s="362"/>
      <c r="B25" s="2" t="s">
        <v>527</v>
      </c>
      <c r="C25" s="37" t="s">
        <v>528</v>
      </c>
      <c r="D25" s="39" t="s">
        <v>2689</v>
      </c>
      <c r="E25" s="37" t="s">
        <v>2682</v>
      </c>
      <c r="F25" s="37" t="s">
        <v>530</v>
      </c>
      <c r="G25" s="34"/>
    </row>
    <row r="26" spans="1:7" ht="98.1" customHeight="1">
      <c r="A26" s="362"/>
      <c r="B26" s="350">
        <v>3</v>
      </c>
      <c r="C26" s="347" t="s">
        <v>74</v>
      </c>
      <c r="D26" s="368" t="s">
        <v>2690</v>
      </c>
      <c r="E26" s="359" t="s">
        <v>0</v>
      </c>
      <c r="F26" s="197" t="s">
        <v>68</v>
      </c>
      <c r="G26" s="34"/>
    </row>
    <row r="27" spans="1:7" ht="90" customHeight="1">
      <c r="A27" s="362"/>
      <c r="B27" s="351"/>
      <c r="C27" s="348"/>
      <c r="D27" s="369"/>
      <c r="E27" s="360"/>
      <c r="F27" s="198" t="s">
        <v>63</v>
      </c>
      <c r="G27" s="34"/>
    </row>
    <row r="28" spans="1:7" ht="19.350000000000001" customHeight="1">
      <c r="A28" s="362"/>
      <c r="B28" s="351"/>
      <c r="C28" s="348"/>
      <c r="D28" s="369"/>
      <c r="E28" s="360"/>
      <c r="F28" s="198" t="s">
        <v>64</v>
      </c>
      <c r="G28" s="34"/>
    </row>
    <row r="29" spans="1:7" ht="74.400000000000006" customHeight="1">
      <c r="A29" s="362"/>
      <c r="B29" s="351"/>
      <c r="C29" s="348"/>
      <c r="D29" s="369"/>
      <c r="E29" s="360"/>
      <c r="F29" s="198" t="s">
        <v>65</v>
      </c>
      <c r="G29" s="34"/>
    </row>
    <row r="30" spans="1:7" ht="62.4" customHeight="1">
      <c r="A30" s="362"/>
      <c r="B30" s="351"/>
      <c r="C30" s="348"/>
      <c r="D30" s="369"/>
      <c r="E30" s="360"/>
      <c r="F30" s="198" t="s">
        <v>66</v>
      </c>
      <c r="G30" s="34"/>
    </row>
    <row r="31" spans="1:7" ht="81" customHeight="1">
      <c r="A31" s="362"/>
      <c r="B31" s="351"/>
      <c r="C31" s="348"/>
      <c r="D31" s="369"/>
      <c r="E31" s="360"/>
      <c r="F31" s="198" t="s">
        <v>67</v>
      </c>
      <c r="G31" s="34"/>
    </row>
    <row r="32" spans="1:7" ht="48.75" customHeight="1">
      <c r="A32" s="362"/>
      <c r="B32" s="351"/>
      <c r="C32" s="348"/>
      <c r="D32" s="369"/>
      <c r="E32" s="360"/>
      <c r="F32" s="198" t="s">
        <v>70</v>
      </c>
      <c r="G32" s="34"/>
    </row>
    <row r="33" spans="1:7" ht="98.4" customHeight="1">
      <c r="A33" s="362"/>
      <c r="B33" s="351"/>
      <c r="C33" s="348"/>
      <c r="D33" s="369"/>
      <c r="E33" s="360"/>
      <c r="F33" s="198" t="s">
        <v>69</v>
      </c>
      <c r="G33" s="34"/>
    </row>
    <row r="34" spans="1:7" ht="89.1" customHeight="1">
      <c r="A34" s="362"/>
      <c r="B34" s="351"/>
      <c r="C34" s="348"/>
      <c r="D34" s="369"/>
      <c r="E34" s="360"/>
      <c r="F34" s="198" t="s">
        <v>71</v>
      </c>
      <c r="G34" s="34"/>
    </row>
    <row r="35" spans="1:7" ht="29.1" customHeight="1">
      <c r="A35" s="362"/>
      <c r="B35" s="351"/>
      <c r="C35" s="348"/>
      <c r="D35" s="369"/>
      <c r="E35" s="360"/>
      <c r="F35" s="198" t="s">
        <v>72</v>
      </c>
      <c r="G35" s="34"/>
    </row>
    <row r="36" spans="1:7" ht="112.2">
      <c r="A36" s="362"/>
      <c r="B36" s="352"/>
      <c r="C36" s="349"/>
      <c r="D36" s="370"/>
      <c r="E36" s="361"/>
      <c r="F36" s="199" t="s">
        <v>73</v>
      </c>
      <c r="G36" s="34"/>
    </row>
    <row r="37" spans="1:7" ht="102">
      <c r="A37" s="362"/>
      <c r="B37" s="175">
        <v>3.01</v>
      </c>
      <c r="C37" s="176" t="s">
        <v>74</v>
      </c>
      <c r="D37" s="39" t="s">
        <v>2691</v>
      </c>
      <c r="E37" s="200" t="s">
        <v>1458</v>
      </c>
      <c r="F37" s="201" t="s">
        <v>1577</v>
      </c>
      <c r="G37" s="34"/>
    </row>
    <row r="38" spans="1:7" ht="81.599999999999994">
      <c r="A38" s="362"/>
      <c r="B38" s="175">
        <v>3.02</v>
      </c>
      <c r="C38" s="176" t="s">
        <v>1492</v>
      </c>
      <c r="D38" s="39" t="s">
        <v>2692</v>
      </c>
      <c r="E38" s="200" t="s">
        <v>1507</v>
      </c>
      <c r="F38" s="201" t="s">
        <v>1578</v>
      </c>
      <c r="G38" s="34"/>
    </row>
    <row r="39" spans="1:7" ht="81.599999999999994">
      <c r="A39" s="362"/>
      <c r="B39" s="184">
        <v>4</v>
      </c>
      <c r="C39" s="183" t="s">
        <v>1757</v>
      </c>
      <c r="D39" s="39" t="s">
        <v>2693</v>
      </c>
      <c r="E39" s="37" t="s">
        <v>2625</v>
      </c>
      <c r="F39" s="37" t="s">
        <v>1758</v>
      </c>
      <c r="G39" s="34"/>
    </row>
    <row r="40" spans="1:7" ht="40.799999999999997">
      <c r="A40" s="362"/>
      <c r="B40" s="175">
        <v>4.01</v>
      </c>
      <c r="C40" s="183" t="s">
        <v>1757</v>
      </c>
      <c r="D40" s="39" t="s">
        <v>2695</v>
      </c>
      <c r="E40" s="37" t="s">
        <v>2644</v>
      </c>
      <c r="F40" s="37" t="s">
        <v>2649</v>
      </c>
      <c r="G40" s="34"/>
    </row>
    <row r="41" spans="1:7" ht="40.799999999999997">
      <c r="A41" s="362"/>
      <c r="B41" s="175" t="s">
        <v>2680</v>
      </c>
      <c r="C41" s="183" t="s">
        <v>1757</v>
      </c>
      <c r="D41" s="39" t="s">
        <v>2694</v>
      </c>
      <c r="E41" s="37" t="s">
        <v>2683</v>
      </c>
      <c r="F41" s="37" t="s">
        <v>2681</v>
      </c>
      <c r="G41" s="34"/>
    </row>
    <row r="42" spans="1:7" ht="40.799999999999997">
      <c r="A42" s="362"/>
      <c r="B42" s="175" t="s">
        <v>2732</v>
      </c>
      <c r="C42" s="183" t="s">
        <v>1757</v>
      </c>
      <c r="D42" s="39" t="s">
        <v>2903</v>
      </c>
      <c r="E42" s="37" t="s">
        <v>2682</v>
      </c>
      <c r="F42" s="37" t="s">
        <v>2733</v>
      </c>
      <c r="G42" s="34"/>
    </row>
    <row r="43" spans="1:7" ht="112.2">
      <c r="A43" s="362"/>
      <c r="B43" s="193">
        <v>4.0999999999999996</v>
      </c>
      <c r="C43" s="183" t="s">
        <v>2902</v>
      </c>
      <c r="D43" s="194">
        <v>42867</v>
      </c>
      <c r="E43" s="202" t="s">
        <v>2905</v>
      </c>
      <c r="F43" s="37" t="s">
        <v>2904</v>
      </c>
      <c r="G43" s="34"/>
    </row>
    <row r="44" spans="1:7" ht="71.400000000000006">
      <c r="A44" s="362"/>
      <c r="B44" s="193">
        <v>4.2</v>
      </c>
      <c r="C44" s="183" t="s">
        <v>2902</v>
      </c>
      <c r="D44" s="194">
        <v>42704</v>
      </c>
      <c r="E44" s="202" t="s">
        <v>3155</v>
      </c>
      <c r="F44" s="37" t="s">
        <v>3120</v>
      </c>
      <c r="G44" s="34"/>
    </row>
    <row r="45" spans="1:7" ht="132.6">
      <c r="A45" s="362"/>
      <c r="B45" s="241">
        <v>5</v>
      </c>
      <c r="C45" s="183" t="s">
        <v>2902</v>
      </c>
      <c r="D45" s="194">
        <v>42867</v>
      </c>
      <c r="E45" s="202" t="s">
        <v>13730</v>
      </c>
      <c r="F45" s="37" t="s">
        <v>13315</v>
      </c>
      <c r="G45" s="34"/>
    </row>
    <row r="46" spans="1:7" ht="30.6">
      <c r="A46" s="362"/>
      <c r="B46" s="193">
        <v>5.01</v>
      </c>
      <c r="C46" s="183" t="s">
        <v>2902</v>
      </c>
      <c r="D46" s="194">
        <v>42907</v>
      </c>
      <c r="E46" s="202" t="s">
        <v>13786</v>
      </c>
      <c r="F46" s="37" t="s">
        <v>13315</v>
      </c>
      <c r="G46" s="34"/>
    </row>
    <row r="47" spans="1:7" ht="61.2">
      <c r="A47" s="362"/>
      <c r="B47" s="193">
        <v>5.0999999999999996</v>
      </c>
      <c r="C47" s="183" t="s">
        <v>2902</v>
      </c>
      <c r="D47" s="194">
        <v>43070</v>
      </c>
      <c r="E47" s="202" t="s">
        <v>13985</v>
      </c>
      <c r="F47" s="37" t="s">
        <v>13986</v>
      </c>
      <c r="G47" s="34"/>
    </row>
    <row r="48" spans="1:7" ht="51">
      <c r="A48" s="362"/>
      <c r="B48" s="193">
        <v>5.1100000000000003</v>
      </c>
      <c r="C48" s="183" t="s">
        <v>14260</v>
      </c>
      <c r="D48" s="194">
        <v>43217</v>
      </c>
      <c r="E48" s="202" t="s">
        <v>14404</v>
      </c>
      <c r="F48" s="37" t="s">
        <v>14299</v>
      </c>
      <c r="G48" s="34"/>
    </row>
    <row r="49" spans="1:7" ht="51">
      <c r="A49" s="362"/>
      <c r="B49" s="193">
        <v>5.12</v>
      </c>
      <c r="C49" s="183" t="s">
        <v>14260</v>
      </c>
      <c r="D49" s="194">
        <v>43581</v>
      </c>
      <c r="E49" s="202" t="s">
        <v>14404</v>
      </c>
      <c r="F49" s="37" t="s">
        <v>15467</v>
      </c>
      <c r="G49" s="34"/>
    </row>
    <row r="50" spans="1:7" ht="13.2" thickBot="1">
      <c r="A50" s="363"/>
      <c r="B50" s="364" t="str">
        <f ca="1">OFFSET(L!$C$1,MATCH("General"&amp;"Cpy",L!$A:$A,0)-1,SL,,)</f>
        <v>© 2019 Responsible Minerals Initiative. All rights reserved.</v>
      </c>
      <c r="C50" s="364"/>
      <c r="D50" s="364"/>
      <c r="E50" s="364"/>
      <c r="F50" s="364"/>
      <c r="G50" s="35"/>
    </row>
    <row r="51" spans="1:7" ht="13.2"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baseColWidth="10" defaultColWidth="8.90625" defaultRowHeight="12.6"/>
  <cols>
    <col min="1" max="1" width="20.453125" style="79" customWidth="1"/>
    <col min="2" max="2" width="57.08984375" style="79" customWidth="1"/>
    <col min="3" max="16384" width="8.9062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baseColWidth="10" defaultColWidth="8.90625" defaultRowHeight="12.6"/>
  <cols>
    <col min="1" max="1" width="11.08984375" customWidth="1"/>
    <col min="2" max="2" width="25.7265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baseColWidth="10" defaultColWidth="8.90625" defaultRowHeight="12.6"/>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2.4">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62">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6.2">
      <c r="A5" s="129"/>
      <c r="B5" s="118"/>
    </row>
    <row r="6" spans="1:2" ht="32.4">
      <c r="A6" s="128" t="str">
        <f ca="1">OFFSET(L!$C$1,MATCH("Instructions"&amp;ADDRESS(ROW(),COLUMN(),4),L!$A:$A,0)-1,SL,,)</f>
        <v>Instructions for completing Company Information questions (rows 8 - 22).
Provide comments in ENGLISH only</v>
      </c>
      <c r="B6" s="118" t="s">
        <v>1434</v>
      </c>
    </row>
    <row r="7" spans="1:2" ht="16.2">
      <c r="A7" s="125" t="str">
        <f ca="1">OFFSET(L!$C$1,MATCH("Instructions"&amp;ADDRESS(ROW(),COLUMN(),4),L!$A:$A,0)-1,SL,,)</f>
        <v xml:space="preserve">Note:  Entries with (*) are mandatory fields. </v>
      </c>
      <c r="B7" s="118"/>
    </row>
    <row r="8" spans="1:2" ht="32.4">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2.4">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2.4">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6.2">
      <c r="A15" s="125" t="str">
        <f ca="1">OFFSET(L!$C$1,MATCH("Instructions"&amp;ADDRESS(ROW(),COLUMN(),4),L!$A:$A,0)-1,SL,,)</f>
        <v>8. Insert the telephone number for the contact. This field is mandatory.</v>
      </c>
      <c r="B15" s="118"/>
    </row>
    <row r="16" spans="1:2" ht="48.6">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6.2">
      <c r="A17" s="125" t="str">
        <f ca="1">OFFSET(L!$C$1,MATCH("Instructions"&amp;ADDRESS(ROW(),COLUMN(),4),L!$A:$A,0)-1,SL,,)</f>
        <v>10. Insert the title for the Authorizing person. This field is optional.</v>
      </c>
      <c r="B17" s="118"/>
    </row>
    <row r="18" spans="1:2" ht="32.4">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6.2">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2.4">
      <c r="A21" s="125" t="str">
        <f ca="1">OFFSET(L!$C$1,MATCH("Instructions"&amp;ADDRESS(ROW(),COLUMN(),4),L!$A:$A,0)-1,SL,,)</f>
        <v xml:space="preserve">14. As an example, the user may save the file name as:  companyname-date.xls (date as YYYY-MM-DD).  </v>
      </c>
      <c r="B21" s="118" t="s">
        <v>1434</v>
      </c>
    </row>
    <row r="22" spans="1:2" ht="16.2">
      <c r="A22" s="129"/>
      <c r="B22" s="118"/>
    </row>
    <row r="23" spans="1:2" ht="32.4">
      <c r="A23" s="128" t="str">
        <f ca="1">OFFSET(L!$C$1,MATCH("Instructions"&amp;ADDRESS(ROW(),COLUMN(),4),L!$A:$A,0)-1,SL,,)</f>
        <v>Instructions for completing the seven Due Diligence Questions (rows 24 - 65).
Provide answers in ENGLISH only</v>
      </c>
      <c r="B23" s="118" t="s">
        <v>1434</v>
      </c>
    </row>
    <row r="24" spans="1:2" ht="64.8">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4.8">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2.4">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29.6">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94.4">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81">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4.8">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6.2">
      <c r="A34" s="125" t="str">
        <f ca="1">OFFSET(L!$C$1,MATCH("Instructions"&amp;ADDRESS(ROW(),COLUMN(),4),L!$A:$A,0)-1,SL,,)</f>
        <v>Provide comments in the Comment sections as required to clarify your responses.</v>
      </c>
      <c r="B34" s="118"/>
    </row>
    <row r="35" spans="1:2" ht="16.2">
      <c r="A35" s="129"/>
      <c r="B35" s="118"/>
    </row>
    <row r="36" spans="1:2" ht="48.6">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45.80000000000001">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4.8">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4.8">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81">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4.8">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62">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62">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45.80000000000001">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4.8">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8.6">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6.2">
      <c r="A47" s="129"/>
      <c r="B47" s="118"/>
    </row>
    <row r="48" spans="1:2" ht="32.4">
      <c r="A48" s="128" t="str">
        <f ca="1">OFFSET(L!$C$1,MATCH("Instructions"&amp;ADDRESS(ROW(),COLUMN(),4),L!$A:$A,0)-1,SL,,)</f>
        <v>Note:  Columns with (*) are mandatory fields</v>
      </c>
      <c r="B48" s="118" t="s">
        <v>1434</v>
      </c>
    </row>
    <row r="49" spans="1:2" ht="48.6">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4.8">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2.4">
      <c r="A51" s="125" t="str">
        <f ca="1">OFFSET(L!$C$1,MATCH("Instructions"&amp;ADDRESS(ROW(),COLUMN(),4),L!$A:$A,0)-1,SL,,)</f>
        <v>2. Metal (*)   -   Use the pull down menu to select the metal for which you are entering smelter information.  This field is mandatory.</v>
      </c>
      <c r="B51" s="118" t="s">
        <v>1434</v>
      </c>
    </row>
    <row r="52" spans="1:2" ht="64.8">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2.4">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4.8">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81">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4.8">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4.8">
      <c r="A57" s="125" t="str">
        <f ca="1">OFFSET(L!$C$1,MATCH("Instructions"&amp;ADDRESS(ROW(),COLUMN(),4),L!$A:$A,0)-1,SL,,)</f>
        <v>8. Smelter Street -  Provide the street name on which the smelter is located. This field is optional.</v>
      </c>
      <c r="B57" s="118" t="s">
        <v>1433</v>
      </c>
    </row>
    <row r="58" spans="1:2" ht="64.8">
      <c r="A58" s="125" t="str">
        <f ca="1">OFFSET(L!$C$1,MATCH("Instructions"&amp;ADDRESS(ROW(),COLUMN(),4),L!$A:$A,0)-1,SL,,)</f>
        <v>9. Smelter City – Provide the city name of where the smelter is located. This field is optional.</v>
      </c>
      <c r="B58" s="118" t="s">
        <v>1433</v>
      </c>
    </row>
    <row r="59" spans="1:2" ht="32.4">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8.6">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81">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7.2">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7.2">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2.4">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6.2">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6.2">
      <c r="A69" s="130"/>
      <c r="B69" s="118"/>
    </row>
    <row r="70" spans="1:2" ht="64.8">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78.2">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7.2">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81">
      <c r="A73" s="125" t="str">
        <f ca="1">OFFSET(L!$C$1,MATCH("Instructions"&amp;ADDRESS(ROW(),COLUMN(),4),L!$A:$A,0)-1,SL,,)</f>
        <v xml:space="preserve">By accessing and using the List or any Tool, and in consideration thereof, the User agrees to the foregoing. </v>
      </c>
      <c r="B73" s="118" t="s">
        <v>1439</v>
      </c>
    </row>
    <row r="74" spans="1:2" ht="32.4">
      <c r="A74" s="125"/>
      <c r="B74" s="118" t="s">
        <v>509</v>
      </c>
    </row>
    <row r="75" spans="1:2" ht="16.2">
      <c r="A75" s="125" t="str">
        <f ca="1">OFFSET(L!$C$1,MATCH("General"&amp;"Cpy",L!$A:$A,0)-1,SL,,)</f>
        <v>© 2019 Responsible Minerals Initiative. All rights reserved.</v>
      </c>
      <c r="B75" s="119"/>
    </row>
    <row r="76" spans="1:2" ht="16.2">
      <c r="A76" s="126" t="s">
        <v>1152</v>
      </c>
      <c r="B76" s="119"/>
    </row>
    <row r="77" spans="1:2" ht="16.2">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baseColWidth="10" defaultColWidth="8.90625" defaultRowHeight="12.6"/>
  <cols>
    <col min="1" max="1" width="1.6328125" style="117" customWidth="1"/>
    <col min="2" max="2" width="35.453125" style="117" customWidth="1"/>
    <col min="3" max="3" width="105.453125" style="117" customWidth="1"/>
    <col min="4" max="5" width="1.6328125" style="117" customWidth="1"/>
    <col min="6" max="6" width="4.453125" style="117" customWidth="1"/>
    <col min="7" max="7" width="4.90625" style="117" customWidth="1"/>
    <col min="8" max="16384" width="8.90625" style="117"/>
  </cols>
  <sheetData>
    <row r="1" spans="1:5" ht="13.2"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13.4">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64.8">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45.80000000000001">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4.8">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8.6">
      <c r="A9" s="90"/>
      <c r="B9" s="77" t="str">
        <f ca="1">OFFSET(L!$C$1,MATCH("Definitions"&amp;ADDRESS(ROW(),COLUMN(),4),L!$A:$A,0)-1,SL,,)</f>
        <v>DRC</v>
      </c>
      <c r="C9" s="77" t="str">
        <f ca="1">OFFSET(L!$C$1,MATCH("Definitions"&amp;ADDRESS(ROW(),COLUMN(),4),L!$A:$A,0)-1,SL,,)</f>
        <v>Democratic Republic of Congo</v>
      </c>
      <c r="D9" s="375"/>
      <c r="E9" s="132" t="s">
        <v>1442</v>
      </c>
    </row>
    <row r="10" spans="1:5" ht="64.8">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4.8">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29.6">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4.8">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94.4">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62">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6.2">
      <c r="A18" s="90"/>
      <c r="B18" s="77" t="str">
        <f ca="1">OFFSET(L!$C$1,MATCH("Definitions"&amp;ADDRESS(ROW(),COLUMN(),4),L!$A:$A,0)-1,SL,,)</f>
        <v>OECD</v>
      </c>
      <c r="C18" s="77" t="str">
        <f ca="1">OFFSET(L!$C$1,MATCH("Definitions"&amp;ADDRESS(ROW(),COLUMN(),4),L!$A:$A,0)-1,SL,,)</f>
        <v>Organisation for Economic Co-operation and Development</v>
      </c>
      <c r="D18" s="375"/>
      <c r="E18" s="132"/>
    </row>
    <row r="19" spans="1:5" ht="32.4">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6.2">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4.8">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45.80000000000001">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81">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64.8">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4.8">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6.2">
      <c r="A31" s="90"/>
      <c r="B31" s="374" t="str">
        <f ca="1">OFFSET(L!$C$1,MATCH("General"&amp;"Cpy",L!$A:$A,0)-1,SL,,)</f>
        <v>© 2019 Responsible Minerals Initiative. All rights reserved.</v>
      </c>
      <c r="C31" s="374"/>
      <c r="D31" s="375"/>
      <c r="E31" s="132"/>
    </row>
    <row r="32" spans="1:5" ht="13.2" thickBot="1">
      <c r="A32" s="91"/>
      <c r="B32" s="187"/>
      <c r="C32" s="187"/>
      <c r="D32" s="376"/>
    </row>
    <row r="33" ht="13.2"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zoomScalePageLayoutView="70" workbookViewId="0">
      <selection activeCell="D85" sqref="D85:E85"/>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7" hidden="1" customWidth="1"/>
    <col min="13" max="15" width="4.90625" style="117" hidden="1" customWidth="1"/>
    <col min="16" max="23" width="9.08984375" hidden="1" customWidth="1"/>
    <col min="24" max="24" width="9.08984375" customWidth="1"/>
  </cols>
  <sheetData>
    <row r="1" spans="1:34" ht="16.8" thickTop="1">
      <c r="A1" s="396"/>
      <c r="B1" s="397"/>
      <c r="C1" s="397"/>
      <c r="D1" s="397"/>
      <c r="E1" s="397"/>
      <c r="F1" s="397"/>
      <c r="G1" s="397"/>
      <c r="H1" s="397"/>
      <c r="I1" s="397"/>
      <c r="J1" s="397"/>
      <c r="K1" s="398"/>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399" t="str">
        <f ca="1">OFFSET(L!$C$1,MATCH("Declaration"&amp;ADDRESS(ROW(),COLUMN(),4),L!$A:$A,0)-1,SL,,)</f>
        <v>Conflict Minerals Reporting Template (CMRT)</v>
      </c>
      <c r="E2" s="400"/>
      <c r="F2" s="400"/>
      <c r="G2" s="400"/>
      <c r="H2" s="400"/>
      <c r="I2" s="400"/>
      <c r="J2" s="401"/>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09"/>
      <c r="G3" s="409"/>
      <c r="H3" s="409"/>
      <c r="I3" s="186"/>
      <c r="J3" s="172" t="s">
        <v>15472</v>
      </c>
      <c r="K3" s="47"/>
      <c r="L3" s="143"/>
      <c r="M3" s="134"/>
      <c r="N3" s="134"/>
      <c r="O3" s="135"/>
      <c r="P3" s="148">
        <f>MATCH($D$3,LN,0)</f>
        <v>1</v>
      </c>
    </row>
    <row r="4" spans="1:34" ht="16.2">
      <c r="A4" s="45"/>
      <c r="B4" s="405" t="str">
        <f ca="1">OFFSET(L!$C$1,MATCH("Declaration"&amp;ADDRESS(ROW(),COLUMN(),4),L!$A:$A,0)-1,SL,,)</f>
        <v>The purpose of this document is to collect sourcing information on tin, tantalum, tungsten and gold used in products</v>
      </c>
      <c r="C4" s="405"/>
      <c r="D4" s="405"/>
      <c r="E4" s="405"/>
      <c r="F4" s="405"/>
      <c r="G4" s="405"/>
      <c r="H4" s="405"/>
      <c r="I4" s="410" t="str">
        <f ca="1">OFFSET(L!$C$1,MATCH("Declaration"&amp;ADDRESS(ROW(),COLUMN(),4),L!$A:$A,0)-1,SL,,)</f>
        <v>Link to Terms &amp; Conditions</v>
      </c>
      <c r="J4" s="410"/>
      <c r="K4" s="47"/>
      <c r="L4" s="145"/>
      <c r="M4" s="134"/>
      <c r="N4" s="134"/>
      <c r="O4" s="135"/>
      <c r="P4" s="12"/>
      <c r="Q4" s="12"/>
      <c r="R4" s="12"/>
      <c r="S4" s="12"/>
      <c r="T4" s="12"/>
      <c r="U4" s="12"/>
      <c r="V4" s="12"/>
      <c r="W4" s="12"/>
      <c r="X4" s="12"/>
      <c r="Y4" s="12"/>
      <c r="Z4" s="12"/>
      <c r="AA4" s="12"/>
      <c r="AB4" s="12"/>
      <c r="AC4" s="12"/>
      <c r="AD4" s="12"/>
      <c r="AE4" s="12"/>
      <c r="AF4" s="12"/>
      <c r="AG4" s="12"/>
      <c r="AH4" s="12"/>
    </row>
    <row r="5" spans="1:34" ht="16.2">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2.4">
      <c r="A6" s="45"/>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6.2">
      <c r="A7" s="45"/>
      <c r="B7" s="414" t="str">
        <f ca="1">OFFSET(L!$C$1,MATCH("Declaration"&amp;ADDRESS(ROW(),COLUMN(),4),L!$A:$A,0)-1,SL,,)</f>
        <v>Company Information</v>
      </c>
      <c r="C7" s="414"/>
      <c r="D7" s="414"/>
      <c r="E7" s="414"/>
      <c r="F7" s="414"/>
      <c r="G7" s="414"/>
      <c r="H7" s="414"/>
      <c r="I7" s="414"/>
      <c r="J7" s="414"/>
      <c r="K7" s="47"/>
      <c r="L7" s="145"/>
      <c r="M7" s="134"/>
      <c r="N7" s="134"/>
      <c r="O7" s="135"/>
      <c r="P7" s="12"/>
      <c r="Q7" s="12"/>
      <c r="R7" s="12"/>
      <c r="S7" s="12"/>
      <c r="T7" s="12"/>
      <c r="U7" s="12"/>
      <c r="V7" s="12"/>
      <c r="W7" s="12"/>
      <c r="X7" s="12"/>
      <c r="Y7" s="12"/>
      <c r="Z7" s="12"/>
      <c r="AA7" s="12"/>
      <c r="AB7" s="12"/>
      <c r="AC7" s="12"/>
      <c r="AD7" s="12"/>
      <c r="AE7" s="12"/>
      <c r="AF7" s="12"/>
      <c r="AG7" s="12"/>
      <c r="AH7" s="12"/>
    </row>
    <row r="8" spans="1:34" ht="16.2">
      <c r="A8" s="49"/>
      <c r="B8" s="89" t="str">
        <f ca="1">OFFSET(L!$C$1,MATCH("Declaration"&amp;ADDRESS(ROW(),COLUMN(),4),L!$A:$A,0)-1,SL,,)</f>
        <v>Company Name (*):</v>
      </c>
      <c r="C8" s="92"/>
      <c r="D8" s="402" t="s">
        <v>15494</v>
      </c>
      <c r="E8" s="403"/>
      <c r="F8" s="403"/>
      <c r="G8" s="403"/>
      <c r="H8" s="403"/>
      <c r="I8" s="403"/>
      <c r="J8" s="404"/>
      <c r="K8" s="50"/>
      <c r="L8" s="145"/>
      <c r="M8" s="134"/>
      <c r="N8" s="134"/>
      <c r="O8" s="135"/>
      <c r="P8" s="12"/>
      <c r="Q8" s="12"/>
      <c r="R8" s="12"/>
      <c r="S8" s="12"/>
      <c r="T8" s="12"/>
      <c r="U8" s="12"/>
      <c r="V8" s="12"/>
      <c r="W8" s="12"/>
      <c r="X8" s="12"/>
      <c r="Y8" s="12"/>
      <c r="Z8" s="12"/>
      <c r="AA8" s="12"/>
      <c r="AB8" s="12"/>
      <c r="AC8" s="12"/>
      <c r="AD8" s="12"/>
      <c r="AE8" s="12"/>
      <c r="AF8" s="12"/>
      <c r="AG8" s="12"/>
      <c r="AH8" s="12"/>
    </row>
    <row r="9" spans="1:34" ht="16.2">
      <c r="A9" s="49"/>
      <c r="B9" s="89" t="str">
        <f ca="1">OFFSET(L!$C$1,MATCH("Declaration"&amp;ADDRESS(ROW(),COLUMN(),4),L!$A:$A,0)-1,SL,,)</f>
        <v>Declaration Scope or Class (*):</v>
      </c>
      <c r="C9" s="92"/>
      <c r="D9" s="411" t="s">
        <v>564</v>
      </c>
      <c r="E9" s="412"/>
      <c r="F9" s="412"/>
      <c r="G9" s="413"/>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 customHeight="1">
      <c r="A10" s="49"/>
      <c r="B10" s="415" t="str">
        <f ca="1">OFFSET(L!$C$1,MATCH("Declaration"&amp;ADDRESS(ROW(),COLUMN(),4)&amp;LEFT($D$9,1),L!$A:$A,0)-1,SL,,)</f>
        <v>Description of Scope:</v>
      </c>
      <c r="C10" s="155"/>
      <c r="D10" s="406"/>
      <c r="E10" s="407"/>
      <c r="F10" s="407"/>
      <c r="G10" s="407"/>
      <c r="H10" s="407"/>
      <c r="I10" s="407"/>
      <c r="J10" s="40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6.2">
      <c r="A11" s="49"/>
      <c r="B11" s="416"/>
      <c r="C11" s="155"/>
      <c r="D11" s="425" t="str">
        <f ca="1">IF(D9=Q9,OFFSET(L!$C$1,MATCH("Declaration"&amp;ADDRESS(ROW(),COLUMN(),4),L!$A:$A,0)-1,SL,,),"")</f>
        <v/>
      </c>
      <c r="E11" s="426"/>
      <c r="F11" s="426"/>
      <c r="G11" s="426"/>
      <c r="H11" s="426"/>
      <c r="I11" s="426"/>
      <c r="J11" s="427"/>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3"/>
      <c r="D12" s="385" t="s">
        <v>15495</v>
      </c>
      <c r="E12" s="386"/>
      <c r="F12" s="386"/>
      <c r="G12" s="386"/>
      <c r="H12" s="386"/>
      <c r="I12" s="386"/>
      <c r="J12" s="387"/>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3"/>
      <c r="D13" s="385" t="s">
        <v>15496</v>
      </c>
      <c r="E13" s="386"/>
      <c r="F13" s="386"/>
      <c r="G13" s="386"/>
      <c r="H13" s="386"/>
      <c r="I13" s="386"/>
      <c r="J13" s="387"/>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3"/>
      <c r="D14" s="385" t="s">
        <v>15497</v>
      </c>
      <c r="E14" s="386"/>
      <c r="F14" s="386"/>
      <c r="G14" s="386"/>
      <c r="H14" s="386"/>
      <c r="I14" s="386"/>
      <c r="J14" s="387"/>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3"/>
      <c r="D15" s="385" t="s">
        <v>15498</v>
      </c>
      <c r="E15" s="386"/>
      <c r="F15" s="386"/>
      <c r="G15" s="386"/>
      <c r="H15" s="386"/>
      <c r="I15" s="386"/>
      <c r="J15" s="387"/>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3"/>
      <c r="D16" s="417" t="s">
        <v>15499</v>
      </c>
      <c r="E16" s="418"/>
      <c r="F16" s="418"/>
      <c r="G16" s="418"/>
      <c r="H16" s="418"/>
      <c r="I16" s="418"/>
      <c r="J16" s="41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3"/>
      <c r="D17" s="385" t="s">
        <v>15500</v>
      </c>
      <c r="E17" s="386"/>
      <c r="F17" s="386"/>
      <c r="G17" s="386"/>
      <c r="H17" s="386"/>
      <c r="I17" s="386"/>
      <c r="J17" s="387"/>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3"/>
      <c r="D18" s="385" t="s">
        <v>15501</v>
      </c>
      <c r="E18" s="386"/>
      <c r="F18" s="386"/>
      <c r="G18" s="386"/>
      <c r="H18" s="386"/>
      <c r="I18" s="386"/>
      <c r="J18" s="387"/>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3"/>
      <c r="D19" s="385" t="s">
        <v>15502</v>
      </c>
      <c r="E19" s="386"/>
      <c r="F19" s="386"/>
      <c r="G19" s="386"/>
      <c r="H19" s="386"/>
      <c r="I19" s="386"/>
      <c r="J19" s="387"/>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3"/>
      <c r="D20" s="417" t="s">
        <v>15499</v>
      </c>
      <c r="E20" s="418"/>
      <c r="F20" s="418"/>
      <c r="G20" s="418"/>
      <c r="H20" s="418"/>
      <c r="I20" s="418"/>
      <c r="J20" s="41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 (*):</v>
      </c>
      <c r="C21" s="167"/>
      <c r="D21" s="385" t="s">
        <v>15500</v>
      </c>
      <c r="E21" s="386"/>
      <c r="F21" s="386"/>
      <c r="G21" s="386"/>
      <c r="H21" s="386"/>
      <c r="I21" s="386"/>
      <c r="J21" s="387"/>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4"/>
      <c r="D22" s="388">
        <v>43888</v>
      </c>
      <c r="E22" s="38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399999999999999">
      <c r="A23" s="52"/>
      <c r="B23" s="95"/>
      <c r="C23" s="20"/>
      <c r="D23" s="422"/>
      <c r="E23" s="422"/>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6.2">
      <c r="A24" s="53"/>
      <c r="B24" s="390" t="str">
        <f ca="1">OFFSET(L!$C$1,MATCH("Declaration"&amp;ADDRESS(ROW(),COLUMN(),4),L!$A:$A,0)-1,SL,,)</f>
        <v>Answer the following questions 1 - 7 based on the declaration scope indicated above</v>
      </c>
      <c r="C24" s="390"/>
      <c r="D24" s="390"/>
      <c r="E24" s="390"/>
      <c r="F24" s="390"/>
      <c r="G24" s="390"/>
      <c r="H24" s="390"/>
      <c r="I24" s="390"/>
      <c r="J24" s="39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23" t="str">
        <f ca="1">OFFSET(L!$C$1,MATCH("Declaration"&amp;ADDRESS(ROW(),COLUMN(),4),L!$A:$A,0)-1,SL,,)</f>
        <v>Answer</v>
      </c>
      <c r="E25" s="423"/>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77" t="s">
        <v>193</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 xml:space="preserve">Tin  </v>
      </c>
      <c r="C27" s="46"/>
      <c r="D27" s="377" t="s">
        <v>193</v>
      </c>
      <c r="E27" s="378"/>
      <c r="F27" s="15"/>
      <c r="G27" s="379"/>
      <c r="H27" s="380"/>
      <c r="I27" s="380"/>
      <c r="J27" s="381"/>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77" t="s">
        <v>193</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77" t="s">
        <v>193</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 customHeight="1">
      <c r="A31" s="52"/>
      <c r="B31" s="55" t="str">
        <f ca="1">OFFSET(L!$C$1,MATCH("Declaration"&amp;ADDRESS(ROW(),COLUMN(),4),L!$A:$A,0)-1,SL,,)&amp;Q$37</f>
        <v>2) Does any 3TG remain in the product(s)?</v>
      </c>
      <c r="C31" s="13"/>
      <c r="D31" s="384" t="str">
        <f ca="1">D25</f>
        <v>Answer</v>
      </c>
      <c r="E31" s="384"/>
      <c r="F31" s="21"/>
      <c r="G31" s="55" t="str">
        <f ca="1">G25</f>
        <v>Comments</v>
      </c>
      <c r="H31" s="55"/>
      <c r="I31" s="55"/>
      <c r="J31" s="99"/>
      <c r="K31" s="47"/>
      <c r="L31" s="140" t="s">
        <v>1369</v>
      </c>
      <c r="M31" s="134"/>
      <c r="N31" s="134"/>
      <c r="O31" s="135"/>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91"/>
      <c r="E32" s="392"/>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 xml:space="preserve">Tin  </v>
      </c>
      <c r="C33" s="13"/>
      <c r="D33" s="377"/>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4" t="str">
        <f ca="1">D25</f>
        <v>Answer</v>
      </c>
      <c r="E37" s="384"/>
      <c r="F37" s="21"/>
      <c r="G37" s="55" t="str">
        <f ca="1">G25</f>
        <v>Comments</v>
      </c>
      <c r="H37" s="421"/>
      <c r="I37" s="421"/>
      <c r="J37" s="421"/>
      <c r="K37" s="47"/>
      <c r="L37" s="140" t="s">
        <v>1369</v>
      </c>
      <c r="M37" s="134"/>
      <c r="N37" s="134"/>
      <c r="O37" s="135"/>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 xml:space="preserve">Tin  </v>
      </c>
      <c r="C39" s="13"/>
      <c r="D39" s="377"/>
      <c r="E39" s="378"/>
      <c r="F39" s="58"/>
      <c r="G39" s="379"/>
      <c r="H39" s="380"/>
      <c r="I39" s="380"/>
      <c r="J39" s="381"/>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 xml:space="preserve">4) Does 100 percent of the 3TG (necessary to the functionality or production of your products) originate from recycled or scrap sources? </v>
      </c>
      <c r="C43" s="13"/>
      <c r="D43" s="384" t="str">
        <f ca="1">D25</f>
        <v>Answer</v>
      </c>
      <c r="E43" s="38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2">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2">
      <c r="A45" s="52"/>
      <c r="B45" s="51" t="str">
        <f ca="1">B39</f>
        <v xml:space="preserve">Tin  </v>
      </c>
      <c r="C45" s="13"/>
      <c r="D45" s="377"/>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2">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2">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399999999999999">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00000000000006" customHeight="1">
      <c r="A49" s="52"/>
      <c r="B49" s="165" t="str">
        <f ca="1">OFFSET(L!$C$1,MATCH("Declaration"&amp;ADDRESS(ROW(),COLUMN(),4),L!$A:$A,0)-1,SL,,)&amp;Q$37</f>
        <v xml:space="preserve">5) What percentage of relevant suppliers have provided a response to your supply chain survey? </v>
      </c>
      <c r="C49" s="13"/>
      <c r="D49" s="384" t="str">
        <f ca="1">D25</f>
        <v>Answer</v>
      </c>
      <c r="E49" s="38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46"/>
      <c r="D50" s="382"/>
      <c r="E50" s="383"/>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 xml:space="preserve">Tin  </v>
      </c>
      <c r="C51" s="46"/>
      <c r="D51" s="382"/>
      <c r="E51" s="383"/>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46"/>
      <c r="D52" s="382"/>
      <c r="E52" s="383"/>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46"/>
      <c r="D53" s="382"/>
      <c r="E53" s="383"/>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6.2">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8.6">
      <c r="A55" s="52"/>
      <c r="B55" s="165" t="str">
        <f ca="1">OFFSET(L!$C$1,MATCH("Declaration"&amp;ADDRESS(ROW(),COLUMN(),4),L!$A:$A,0)-1,SL,,)&amp;Q$37</f>
        <v xml:space="preserve">6) Have you identified all of the smelters supplying the 3TG to your supply chain? </v>
      </c>
      <c r="C55" s="13"/>
      <c r="D55" s="384" t="str">
        <f ca="1">D25</f>
        <v>Answer</v>
      </c>
      <c r="E55" s="384"/>
      <c r="F55" s="21"/>
      <c r="G55" s="55" t="str">
        <f ca="1">G25</f>
        <v>Comments</v>
      </c>
      <c r="H55" s="420"/>
      <c r="I55" s="420"/>
      <c r="J55" s="42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13"/>
      <c r="D56" s="391"/>
      <c r="E56" s="392"/>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 xml:space="preserve">Tin  </v>
      </c>
      <c r="C57" s="13"/>
      <c r="D57" s="377"/>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6.2">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8.6">
      <c r="A61" s="52"/>
      <c r="B61" s="55" t="str">
        <f ca="1">OFFSET(L!$C$1,MATCH("Declaration"&amp;ADDRESS(ROW(),COLUMN(),4),L!$A:$A,0)-1,SL,,)&amp;Q$37</f>
        <v xml:space="preserve">7) Has all applicable smelter information received by your company been reported in this declaration? </v>
      </c>
      <c r="C61" s="13"/>
      <c r="D61" s="384" t="str">
        <f ca="1">D25</f>
        <v>Answer</v>
      </c>
      <c r="E61" s="384"/>
      <c r="F61" s="21"/>
      <c r="G61" s="55" t="str">
        <f ca="1">G25</f>
        <v>Comments</v>
      </c>
      <c r="H61" s="420" t="str">
        <f>IF(Q69="(*)","Click here to enter smelter names","")</f>
        <v/>
      </c>
      <c r="I61" s="420"/>
      <c r="J61" s="42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 xml:space="preserve">Tin  </v>
      </c>
      <c r="C63" s="46"/>
      <c r="D63" s="377"/>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2">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6.2">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6.2">
      <c r="A67" s="52"/>
      <c r="B67" s="434" t="str">
        <f ca="1">OFFSET(L!$C$1,MATCH("Declaration"&amp;ADDRESS(ROW(),COLUMN(),4),L!$A:$A,0)-1,SL,,)</f>
        <v>Answer the Following Questions at a Company Level</v>
      </c>
      <c r="C67" s="434"/>
      <c r="D67" s="434"/>
      <c r="E67" s="434"/>
      <c r="F67" s="434"/>
      <c r="G67" s="434"/>
      <c r="H67" s="434"/>
      <c r="I67" s="434"/>
      <c r="J67" s="434"/>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6.2">
      <c r="A68" s="62"/>
      <c r="B68" s="63" t="str">
        <f ca="1">OFFSET(L!$C$1,MATCH("Declaration"&amp;ADDRESS(ROW(),COLUMN(),4),L!$A:$A,0)-1,SL,,)</f>
        <v>Question</v>
      </c>
      <c r="C68" s="97"/>
      <c r="D68" s="423" t="str">
        <f ca="1">D25</f>
        <v>Answer</v>
      </c>
      <c r="E68" s="423"/>
      <c r="F68" s="64"/>
      <c r="G68" s="423" t="str">
        <f ca="1">G25</f>
        <v>Comments</v>
      </c>
      <c r="H68" s="423" t="e">
        <f>HLOOKUP(SL,LT,$O68,0)</f>
        <v>#NAME?</v>
      </c>
      <c r="I68" s="423"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2.4">
      <c r="A69" s="52"/>
      <c r="B69" s="67" t="str">
        <f ca="1">OFFSET(L!$C$1,MATCH("Declaration"&amp;ADDRESS(ROW(),COLUMN(),4),L!$A:$A,0)-1,SL,,)&amp;$Q$37</f>
        <v>A. Have you established a conflict minerals sourcing policy?</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6.2">
      <c r="A70" s="52"/>
      <c r="B70" s="69"/>
      <c r="C70" s="15"/>
      <c r="D70" s="1"/>
      <c r="E70" s="1"/>
      <c r="F70" s="15"/>
      <c r="G70" s="424"/>
      <c r="H70" s="424"/>
      <c r="I70" s="424"/>
      <c r="J70" s="424"/>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v>
      </c>
      <c r="C71" s="68"/>
      <c r="D71" s="377" t="s">
        <v>559</v>
      </c>
      <c r="E71" s="378"/>
      <c r="F71" s="68"/>
      <c r="G71" s="393"/>
      <c r="H71" s="394"/>
      <c r="I71" s="394"/>
      <c r="J71" s="395"/>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6.2">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6.2">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v>
      </c>
      <c r="C75" s="68"/>
      <c r="D75" s="377" t="s">
        <v>559</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6.2">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v>
      </c>
      <c r="C77" s="68"/>
      <c r="D77" s="377" t="s">
        <v>559</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6.2">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v>
      </c>
      <c r="C79" s="68"/>
      <c r="D79" s="431" t="s">
        <v>13268</v>
      </c>
      <c r="E79" s="432"/>
      <c r="F79" s="68"/>
      <c r="G79" s="379" t="s">
        <v>15503</v>
      </c>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6.2">
      <c r="A80" s="52"/>
      <c r="B80" s="72"/>
      <c r="C80" s="15"/>
      <c r="D80" s="1"/>
      <c r="E80" s="1"/>
      <c r="F80" s="16"/>
      <c r="G80" s="424"/>
      <c r="H80" s="424"/>
      <c r="I80" s="424"/>
      <c r="J80" s="424"/>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6.2">
      <c r="A82" s="52"/>
      <c r="B82" s="69"/>
      <c r="C82" s="15"/>
      <c r="D82" s="1"/>
      <c r="E82" s="1"/>
      <c r="F82" s="16"/>
      <c r="G82" s="433"/>
      <c r="H82" s="433"/>
      <c r="I82" s="433"/>
      <c r="J82" s="433"/>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2.4">
      <c r="A83" s="52"/>
      <c r="B83" s="67" t="str">
        <f ca="1">OFFSET(L!$C$1,MATCH("Declaration"&amp;ADDRESS(ROW(),COLUMN(),4),L!$A:$A,0)-1,SL,,)&amp;$Q$37</f>
        <v>H. Does your review process include corrective action management?</v>
      </c>
      <c r="C83" s="68"/>
      <c r="D83" s="377" t="s">
        <v>559</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6.2">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2.4">
      <c r="A85" s="52"/>
      <c r="B85" s="67" t="str">
        <f ca="1">OFFSET(L!$C$1,MATCH("Declaration"&amp;ADDRESS(ROW(),COLUMN(),4),L!$A:$A,0)-1,SL,,)&amp;$Q$37</f>
        <v>I. Is your company required to file an annual conflict minerals disclosure with the SEC?</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6.2">
      <c r="A86" s="52"/>
      <c r="B86" s="430" t="str">
        <f>IF(OR($D$8="",$I$3=""),"","Click here to check required fields completion")</f>
        <v/>
      </c>
      <c r="C86" s="430"/>
      <c r="D86" s="430"/>
      <c r="E86" s="430"/>
      <c r="F86" s="430"/>
      <c r="G86" s="430"/>
      <c r="H86" s="430"/>
      <c r="I86" s="430"/>
      <c r="J86" s="430"/>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6.8" thickBot="1">
      <c r="A87" s="428" t="str">
        <f ca="1">OFFSET(L!$C$1,MATCH("General"&amp;"Cpy",L!$A:$A,0)-1,SL,,)</f>
        <v>© 2019 Responsible Minerals Initiative. All rights reserved.</v>
      </c>
      <c r="B87" s="429"/>
      <c r="C87" s="429"/>
      <c r="D87" s="429"/>
      <c r="E87" s="429"/>
      <c r="F87" s="429"/>
      <c r="G87" s="429"/>
      <c r="H87" s="429"/>
      <c r="I87" s="429"/>
      <c r="J87" s="429"/>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6.8"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2" priority="53" stopIfTrue="1">
      <formula>AND(OR($D$26="No",AND($D$26="Yes",$D$32="No")),OR($D$27="No",AND($D$27="Yes",$D$33="No")), OR($D$28="No",AND($D$28="Yes",$D$34="No")), OR($D$29="No",AND($D$29="Yes",$D$35="No")))</formula>
    </cfRule>
    <cfRule type="expression" dxfId="81" priority="54" stopIfTrue="1">
      <formula>IF(D69="",TRUE)</formula>
    </cfRule>
  </conditionalFormatting>
  <conditionalFormatting sqref="G71:J71">
    <cfRule type="expression" dxfId="80" priority="25" stopIfTrue="1">
      <formula>IF(AND($D$71="Yes",$G$71=""),TRUE)</formula>
    </cfRule>
  </conditionalFormatting>
  <conditionalFormatting sqref="D26:E26">
    <cfRule type="expression" dxfId="79" priority="105" stopIfTrue="1">
      <formula>IF($D$26="",TRUE)</formula>
    </cfRule>
  </conditionalFormatting>
  <conditionalFormatting sqref="D27:E27">
    <cfRule type="expression" dxfId="78" priority="112" stopIfTrue="1">
      <formula>IF($D$27="",TRUE)</formula>
    </cfRule>
  </conditionalFormatting>
  <conditionalFormatting sqref="D28:E28">
    <cfRule type="expression" dxfId="77" priority="113" stopIfTrue="1">
      <formula>IF($D$28="",TRUE)</formula>
    </cfRule>
  </conditionalFormatting>
  <conditionalFormatting sqref="D29:E29">
    <cfRule type="expression" dxfId="76" priority="114" stopIfTrue="1">
      <formula>IF($D$29="",TRUE)</formula>
    </cfRule>
  </conditionalFormatting>
  <conditionalFormatting sqref="D8:J8">
    <cfRule type="expression" dxfId="75" priority="119" stopIfTrue="1">
      <formula>IF($D$8="",TRUE)</formula>
    </cfRule>
  </conditionalFormatting>
  <conditionalFormatting sqref="D9:G9">
    <cfRule type="expression" dxfId="74" priority="120" stopIfTrue="1">
      <formula>IF($D$9="",TRUE)</formula>
    </cfRule>
  </conditionalFormatting>
  <conditionalFormatting sqref="D15:J15">
    <cfRule type="expression" dxfId="73" priority="121" stopIfTrue="1">
      <formula>IF($D$15="",TRUE)</formula>
    </cfRule>
  </conditionalFormatting>
  <conditionalFormatting sqref="D16:J16">
    <cfRule type="expression" dxfId="72" priority="122" stopIfTrue="1">
      <formula>IF($D$16="",TRUE)</formula>
    </cfRule>
  </conditionalFormatting>
  <conditionalFormatting sqref="D17:J17">
    <cfRule type="expression" dxfId="71" priority="123" stopIfTrue="1">
      <formula>IF($D$17="",TRUE)</formula>
    </cfRule>
  </conditionalFormatting>
  <conditionalFormatting sqref="D18:J18">
    <cfRule type="expression" dxfId="70" priority="124" stopIfTrue="1">
      <formula>IF($D$18="",TRUE)</formula>
    </cfRule>
  </conditionalFormatting>
  <conditionalFormatting sqref="D22:E22">
    <cfRule type="expression" dxfId="69" priority="127" stopIfTrue="1">
      <formula>IF($D$22="",TRUE)</formula>
    </cfRule>
  </conditionalFormatting>
  <conditionalFormatting sqref="D10:J10">
    <cfRule type="expression" dxfId="68" priority="24" stopIfTrue="1">
      <formula>IF($D$9=$Q$9,TRUE)</formula>
    </cfRule>
    <cfRule type="expression" dxfId="67" priority="134" stopIfTrue="1">
      <formula>IF(AND($D$10="",$D$9=$R$9),TRUE)</formula>
    </cfRule>
  </conditionalFormatting>
  <conditionalFormatting sqref="D34:E34 D40:E40 D46:E46 D52:E52 D58:E58 D64:E64">
    <cfRule type="expression" dxfId="66" priority="17" stopIfTrue="1">
      <formula>$P$28=""</formula>
    </cfRule>
  </conditionalFormatting>
  <conditionalFormatting sqref="D35:E35 D41:E41 D47:E47 D53:E53 D59:E59 D65:E65">
    <cfRule type="expression" dxfId="65" priority="132" stopIfTrue="1">
      <formula>$P$29=""</formula>
    </cfRule>
  </conditionalFormatting>
  <conditionalFormatting sqref="D32:E32">
    <cfRule type="expression" dxfId="64" priority="110" stopIfTrue="1">
      <formula>$P$26=""</formula>
    </cfRule>
  </conditionalFormatting>
  <conditionalFormatting sqref="D32:E32">
    <cfRule type="expression" dxfId="63" priority="23" stopIfTrue="1">
      <formula>IF(AND(OR($D$26="Yes",$D$26=""),$D$32=""),1,0)</formula>
    </cfRule>
  </conditionalFormatting>
  <conditionalFormatting sqref="D38 D44 D50 D56 D62">
    <cfRule type="expression" dxfId="62" priority="19" stopIfTrue="1">
      <formula>$P$32=""</formula>
    </cfRule>
  </conditionalFormatting>
  <conditionalFormatting sqref="D39:E39 D45 D51 D57 D63">
    <cfRule type="expression" dxfId="61" priority="18" stopIfTrue="1">
      <formula>$P$33=""</formula>
    </cfRule>
  </conditionalFormatting>
  <conditionalFormatting sqref="D40 D46 D52 D58 D64">
    <cfRule type="expression" dxfId="60" priority="8" stopIfTrue="1">
      <formula>$P$34=""</formula>
    </cfRule>
    <cfRule type="expression" dxfId="59" priority="130" stopIfTrue="1">
      <formula>IF(AND(OR($D$28="Yes",$D$28=""),D40=""),1,0)</formula>
    </cfRule>
  </conditionalFormatting>
  <conditionalFormatting sqref="D41 D47 D53 D59 D65">
    <cfRule type="expression" dxfId="58" priority="16" stopIfTrue="1">
      <formula>$P$35=""</formula>
    </cfRule>
  </conditionalFormatting>
  <conditionalFormatting sqref="D38:E38 D44:E44 D50:E50 D56:E56 D62:E62">
    <cfRule type="expression" dxfId="57" priority="21" stopIfTrue="1">
      <formula>$P$26=""</formula>
    </cfRule>
    <cfRule type="expression" dxfId="56" priority="22" stopIfTrue="1">
      <formula>IF(AND(OR($D$26="Yes",$D$26=""),D38=""),1,0)</formula>
    </cfRule>
  </conditionalFormatting>
  <conditionalFormatting sqref="G79:J79">
    <cfRule type="expression" dxfId="55" priority="15" stopIfTrue="1">
      <formula>IF(AND($D$79="Yes, using other format (describe)",$G$79=""),TRUE)</formula>
    </cfRule>
  </conditionalFormatting>
  <conditionalFormatting sqref="D39:E39 D45:E45 D51:E51 D57:E57 D63:E63">
    <cfRule type="expression" dxfId="54" priority="128" stopIfTrue="1">
      <formula>$P$39=""</formula>
    </cfRule>
    <cfRule type="expression" dxfId="53" priority="129" stopIfTrue="1">
      <formula>IF(AND(OR($D$27="Yes",$D$27=""),D39=""),1,0)</formula>
    </cfRule>
  </conditionalFormatting>
  <conditionalFormatting sqref="D33:E33">
    <cfRule type="expression" dxfId="52" priority="10" stopIfTrue="1">
      <formula>IF(AND(OR($D$27="Yes",$D$27=""),$D$33=""),1,0)</formula>
    </cfRule>
    <cfRule type="expression" dxfId="51" priority="11" stopIfTrue="1">
      <formula>$P$27=""</formula>
    </cfRule>
  </conditionalFormatting>
  <conditionalFormatting sqref="D34:E34">
    <cfRule type="expression" dxfId="50" priority="131" stopIfTrue="1">
      <formula>IF(AND(OR($D$28="Yes",$D$28=""),$D$34=""),1,0)</formula>
    </cfRule>
  </conditionalFormatting>
  <conditionalFormatting sqref="D41:E41 D47:E47 D53:E53 D59:E59 D65:E65">
    <cfRule type="expression" dxfId="49" priority="133" stopIfTrue="1">
      <formula>IF(AND(OR($D$29="Yes",$D$29=""),D41=""),1,0)</formula>
    </cfRule>
  </conditionalFormatting>
  <conditionalFormatting sqref="D35:E35">
    <cfRule type="expression" dxfId="48" priority="7" stopIfTrue="1">
      <formula>IF(AND(OR($D$29="Yes",$D$29=""),$D$35=""),1,0)</formula>
    </cfRule>
  </conditionalFormatting>
  <conditionalFormatting sqref="D20:J20">
    <cfRule type="expression" dxfId="1" priority="2" stopIfTrue="1">
      <formula>IF($D$16="",TRUE)</formula>
    </cfRule>
  </conditionalFormatting>
  <conditionalFormatting sqref="D21:J21">
    <cfRule type="expression" dxfId="0" priority="1" stopIfTrue="1">
      <formula>IF($D$17="",TRUE)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4" zoomScaleNormal="100" zoomScalePageLayoutView="55" workbookViewId="0">
      <selection activeCell="C18" sqref="C18"/>
    </sheetView>
  </sheetViews>
  <sheetFormatPr baseColWidth="10" defaultColWidth="8.90625" defaultRowHeight="12.6"/>
  <cols>
    <col min="1" max="1" width="13.6328125" style="277" customWidth="1"/>
    <col min="2" max="2" width="13.36328125" style="277" customWidth="1"/>
    <col min="3" max="3" width="40.453125" style="277" customWidth="1"/>
    <col min="4" max="4" width="30.6328125" style="277" customWidth="1"/>
    <col min="5" max="5" width="20.90625" style="277" customWidth="1"/>
    <col min="6" max="7" width="13.90625" style="277" customWidth="1"/>
    <col min="8" max="8" width="25.08984375" style="277" customWidth="1"/>
    <col min="9" max="9" width="24.08984375" style="277" customWidth="1"/>
    <col min="10" max="10" width="18.36328125" style="277" customWidth="1"/>
    <col min="11" max="11" width="27.36328125" style="277" customWidth="1"/>
    <col min="12" max="12" width="20.6328125" style="277" customWidth="1"/>
    <col min="13" max="13" width="35.08984375" style="277" customWidth="1"/>
    <col min="14" max="14" width="42.08984375" style="277" customWidth="1"/>
    <col min="15" max="15" width="32.08984375" style="277" customWidth="1"/>
    <col min="16" max="16" width="22.90625" style="277" customWidth="1"/>
    <col min="17" max="17" width="43.453125" style="277" customWidth="1"/>
    <col min="18" max="18" width="35.90625" style="277" hidden="1" customWidth="1"/>
    <col min="19" max="20" width="17.90625" style="277" hidden="1" customWidth="1"/>
    <col min="21" max="21" width="8.90625" style="276" hidden="1" customWidth="1"/>
    <col min="22" max="22" width="6.08984375" style="276" hidden="1" customWidth="1"/>
    <col min="23" max="23" width="8.6328125" style="276" hidden="1" customWidth="1"/>
    <col min="24" max="24" width="8.90625" style="276" hidden="1" customWidth="1"/>
    <col min="25" max="26" width="4.36328125" style="276" hidden="1" customWidth="1"/>
    <col min="27" max="27" width="4.36328125" style="277" hidden="1" customWidth="1"/>
    <col min="28" max="28" width="7.90625" style="277" hidden="1" customWidth="1"/>
    <col min="29" max="33" width="4.36328125" style="277" hidden="1" customWidth="1"/>
    <col min="34" max="34" width="14.453125" style="277" hidden="1" customWidth="1"/>
    <col min="35" max="39" width="8.90625" style="277" customWidth="1"/>
    <col min="40" max="16384" width="8.90625" style="277"/>
  </cols>
  <sheetData>
    <row r="1" spans="1:34" s="263" customFormat="1" ht="13.8"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8.2">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6"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tr">
        <f>IF(LEN(A5)=0,"",INDEX('Smelter Look-up'!$A:$A,MATCH($A5,'Smelter Look-up'!$E:$E,0)))</f>
        <v/>
      </c>
      <c r="C5" s="220" t="str">
        <f>IF(LEN(A5)=0,"",INDEX('Smelter Look-up'!$C:$C,MATCH($A5,'Smelter Look-up'!$E:$E,0)))</f>
        <v/>
      </c>
      <c r="D5" s="216"/>
      <c r="E5" s="216" t="str">
        <f ca="1">IF(ISERROR($V5),"",OFFSET('Smelter Look-up'!$D$4,$V5-4,0)&amp;"")</f>
        <v/>
      </c>
      <c r="F5" s="216" t="str">
        <f ca="1">IF(ISERROR($V5),"",OFFSET('Smelter Look-up'!$E$4,$V5-4,0))</f>
        <v/>
      </c>
      <c r="G5" s="216" t="str">
        <f ca="1">IF(C5=$X$4,"Enter smelter details", IF(ISERROR($V5),"",OFFSET('Smelter Look-up'!$F$4,$V5-4,0)))</f>
        <v/>
      </c>
      <c r="H5" s="217" t="str">
        <f ca="1">IF(ISERROR($V5),"",OFFSET('Smelter Look-up'!$G$4,$V5-4,0))</f>
        <v/>
      </c>
      <c r="I5" s="218" t="str">
        <f ca="1">IF(ISERROR($V5),"",OFFSET('Smelter Look-up'!$H$4,$V5-4,0))</f>
        <v/>
      </c>
      <c r="J5" s="218" t="str">
        <f ca="1">IF(ISERROR($V5),"",OFFSET('Smelter Look-up'!$I$4,$V5-4,0))</f>
        <v/>
      </c>
      <c r="K5" s="267"/>
      <c r="L5" s="267"/>
      <c r="M5" s="267"/>
      <c r="N5" s="267"/>
      <c r="O5" s="267"/>
      <c r="P5" s="219"/>
      <c r="Q5" s="268"/>
      <c r="R5" s="216" t="str">
        <f ca="1">IF(ISERROR($V5),"",OFFSET('Smelter Look-up'!$C$4,$V5-4,0)&amp;"")</f>
        <v/>
      </c>
      <c r="S5" s="224" t="str">
        <f t="shared" ref="S5:S68" ca="1" si="0">IF(B5="","",IF(ISERROR(MATCH($E5,CL,0)),"Unknown",INDIRECT("'C'!$A$"&amp;MATCH($E5,CL,0)+1)))</f>
        <v/>
      </c>
      <c r="T5" s="224" t="str">
        <f ca="1">IF(B5="","",IF(ISERROR(MATCH($J5,SorP!$B$1:$B$6230,0)),"",INDIRECT("'SorP'!$A$"&amp;MATCH($J5,SorP!$B$1:$B$6230,0))))</f>
        <v/>
      </c>
      <c r="U5" s="239"/>
      <c r="V5" s="269" t="e">
        <f>IF(C5="",NA(),MATCH($B5&amp;$C5,'Smelter Look-up'!$J:$J,0))</f>
        <v>#N/A</v>
      </c>
      <c r="W5" s="270"/>
      <c r="X5" s="270">
        <f t="shared" ref="X5:X68" ca="1" si="1">IF(AND(C5="Smelter not listed",OR(LEN(D5)=0,LEN(E5)=0)),1,0)</f>
        <v>0</v>
      </c>
      <c r="Y5" s="270"/>
      <c r="Z5" s="270"/>
      <c r="AB5" s="272" t="str">
        <f t="shared" ref="AB5:AB68" si="2">B5&amp;C5</f>
        <v/>
      </c>
    </row>
    <row r="6" spans="1:34" s="271" customFormat="1" ht="20.100000000000001" customHeight="1">
      <c r="A6" s="215"/>
      <c r="B6" s="216" t="str">
        <f>IF(LEN(A6)=0,"",INDEX('Smelter Look-up'!$A:$A,MATCH($A6,'Smelter Look-up'!$E:$E,0)))</f>
        <v/>
      </c>
      <c r="C6" s="220" t="str">
        <f>IF(LEN(A6)=0,"",INDEX('Smelter Look-up'!$C:$C,MATCH($A6,'Smelter Look-up'!$E:$E,0)))</f>
        <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20.100000000000001"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399999999999999">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399999999999999">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399999999999999">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399999999999999">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399999999999999">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399999999999999">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399999999999999">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399999999999999">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399999999999999">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399999999999999">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399999999999999">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399999999999999">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399999999999999">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399999999999999">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399999999999999">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399999999999999">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399999999999999">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399999999999999">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399999999999999">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399999999999999">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399999999999999">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399999999999999">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399999999999999">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399999999999999">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399999999999999">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399999999999999">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399999999999999">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399999999999999">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399999999999999">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399999999999999">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399999999999999">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399999999999999">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399999999999999">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399999999999999">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399999999999999">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399999999999999">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399999999999999">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399999999999999">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399999999999999">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399999999999999">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399999999999999">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399999999999999">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399999999999999">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399999999999999">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399999999999999">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399999999999999">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399999999999999">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399999999999999">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399999999999999">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399999999999999">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399999999999999">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399999999999999">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399999999999999">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399999999999999">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399999999999999">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399999999999999">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399999999999999">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399999999999999">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399999999999999">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399999999999999">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399999999999999">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399999999999999">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399999999999999">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399999999999999">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399999999999999">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399999999999999">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399999999999999">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399999999999999">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399999999999999">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399999999999999">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399999999999999">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399999999999999">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399999999999999">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399999999999999">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399999999999999">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399999999999999">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399999999999999">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399999999999999">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399999999999999">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399999999999999">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399999999999999">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399999999999999">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399999999999999">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399999999999999">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399999999999999">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399999999999999">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399999999999999">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399999999999999">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399999999999999">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399999999999999">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399999999999999">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399999999999999">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399999999999999">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399999999999999">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399999999999999">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399999999999999">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399999999999999">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399999999999999">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399999999999999">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399999999999999">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399999999999999">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399999999999999">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399999999999999">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399999999999999">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399999999999999">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399999999999999">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399999999999999">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399999999999999">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399999999999999">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399999999999999">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399999999999999">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399999999999999">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399999999999999">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399999999999999">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399999999999999">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399999999999999">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399999999999999">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399999999999999">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399999999999999">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399999999999999">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399999999999999">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399999999999999">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399999999999999">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399999999999999">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399999999999999">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399999999999999">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399999999999999">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399999999999999">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399999999999999">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399999999999999">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399999999999999">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399999999999999">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399999999999999">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399999999999999">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399999999999999">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399999999999999">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399999999999999">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399999999999999">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399999999999999">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399999999999999">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399999999999999">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399999999999999">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399999999999999">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399999999999999">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399999999999999">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399999999999999">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399999999999999">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399999999999999">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399999999999999">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399999999999999">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399999999999999">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399999999999999">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399999999999999">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399999999999999">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399999999999999">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399999999999999">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399999999999999">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399999999999999">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399999999999999">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399999999999999">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399999999999999">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399999999999999">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399999999999999">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399999999999999">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399999999999999">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399999999999999">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399999999999999">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399999999999999">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399999999999999">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399999999999999">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399999999999999">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399999999999999">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399999999999999">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399999999999999">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399999999999999">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399999999999999">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399999999999999">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399999999999999">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399999999999999">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399999999999999">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399999999999999">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399999999999999">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399999999999999">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399999999999999">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399999999999999">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399999999999999">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399999999999999">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399999999999999">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399999999999999">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399999999999999">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399999999999999">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399999999999999">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399999999999999">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399999999999999">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399999999999999">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399999999999999">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399999999999999">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399999999999999">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399999999999999">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399999999999999">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399999999999999">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399999999999999">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399999999999999">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399999999999999">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399999999999999">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399999999999999">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399999999999999">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399999999999999">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399999999999999">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399999999999999">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399999999999999">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399999999999999">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399999999999999">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399999999999999">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399999999999999">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399999999999999">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399999999999999">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399999999999999">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399999999999999">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399999999999999">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399999999999999">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399999999999999">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399999999999999">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399999999999999">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399999999999999">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399999999999999">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399999999999999">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399999999999999">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399999999999999">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399999999999999">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399999999999999">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399999999999999">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399999999999999">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399999999999999">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399999999999999">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399999999999999">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399999999999999">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399999999999999">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399999999999999">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399999999999999">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399999999999999">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399999999999999">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399999999999999">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399999999999999">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399999999999999">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399999999999999">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399999999999999">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399999999999999">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399999999999999">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399999999999999">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399999999999999">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399999999999999">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399999999999999">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399999999999999">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399999999999999">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399999999999999">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399999999999999">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399999999999999">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399999999999999">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399999999999999">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399999999999999">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399999999999999">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399999999999999">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399999999999999">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399999999999999">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399999999999999">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399999999999999">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399999999999999">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399999999999999">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399999999999999">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399999999999999">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399999999999999">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399999999999999">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399999999999999">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399999999999999">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399999999999999">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399999999999999">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399999999999999">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399999999999999">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399999999999999">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399999999999999">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399999999999999">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399999999999999">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399999999999999">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399999999999999">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399999999999999">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399999999999999">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399999999999999">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399999999999999">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399999999999999">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399999999999999">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399999999999999">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399999999999999">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399999999999999">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399999999999999">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399999999999999">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399999999999999">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399999999999999">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399999999999999">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399999999999999">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399999999999999">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399999999999999">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399999999999999">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399999999999999">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399999999999999">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399999999999999">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399999999999999">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399999999999999">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399999999999999">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399999999999999">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399999999999999">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399999999999999">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399999999999999">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399999999999999">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399999999999999">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399999999999999">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399999999999999">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399999999999999">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399999999999999">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399999999999999">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399999999999999">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399999999999999">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399999999999999">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399999999999999">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399999999999999">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399999999999999">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399999999999999">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399999999999999">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399999999999999">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399999999999999">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399999999999999">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399999999999999">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399999999999999">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399999999999999">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399999999999999">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399999999999999">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399999999999999">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399999999999999">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399999999999999">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399999999999999">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399999999999999">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399999999999999">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399999999999999">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399999999999999">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399999999999999">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399999999999999">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399999999999999">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399999999999999">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399999999999999">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399999999999999">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399999999999999">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399999999999999">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399999999999999">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399999999999999">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399999999999999">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399999999999999">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399999999999999">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399999999999999">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399999999999999">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399999999999999">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399999999999999">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399999999999999">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399999999999999">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399999999999999">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399999999999999">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399999999999999">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399999999999999">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399999999999999">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399999999999999">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399999999999999">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399999999999999">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399999999999999">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399999999999999">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399999999999999">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399999999999999">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399999999999999">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399999999999999">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399999999999999">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399999999999999">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399999999999999">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399999999999999">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399999999999999">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399999999999999">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399999999999999">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399999999999999">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399999999999999">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399999999999999">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399999999999999">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399999999999999">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399999999999999">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399999999999999">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399999999999999">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399999999999999">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399999999999999">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399999999999999">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399999999999999">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399999999999999">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399999999999999">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399999999999999">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399999999999999">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399999999999999">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399999999999999">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399999999999999">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399999999999999">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399999999999999">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399999999999999">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399999999999999">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399999999999999">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399999999999999">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399999999999999">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399999999999999">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399999999999999">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399999999999999">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399999999999999">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399999999999999">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399999999999999">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399999999999999">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399999999999999">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399999999999999">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399999999999999">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399999999999999">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399999999999999">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399999999999999">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399999999999999">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399999999999999">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399999999999999">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399999999999999">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399999999999999">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399999999999999">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399999999999999">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399999999999999">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399999999999999">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399999999999999">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399999999999999">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399999999999999">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399999999999999">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399999999999999">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399999999999999">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399999999999999">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399999999999999">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399999999999999">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399999999999999">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399999999999999">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399999999999999">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399999999999999">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399999999999999">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399999999999999">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399999999999999">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399999999999999">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399999999999999">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399999999999999">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399999999999999">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399999999999999">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399999999999999">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399999999999999">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399999999999999">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399999999999999">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399999999999999">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399999999999999">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399999999999999">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399999999999999">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399999999999999">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399999999999999">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399999999999999">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399999999999999">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399999999999999">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399999999999999">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399999999999999">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399999999999999">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399999999999999">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399999999999999">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399999999999999">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399999999999999">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399999999999999">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399999999999999">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399999999999999">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399999999999999">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399999999999999">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399999999999999">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399999999999999">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399999999999999">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399999999999999">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399999999999999">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399999999999999">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399999999999999">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399999999999999">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399999999999999">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399999999999999">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399999999999999">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399999999999999">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399999999999999">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399999999999999">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399999999999999">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399999999999999">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399999999999999">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399999999999999">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399999999999999">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399999999999999">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399999999999999">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399999999999999">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399999999999999">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399999999999999">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399999999999999">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399999999999999">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399999999999999">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399999999999999">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399999999999999">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399999999999999">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399999999999999">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399999999999999">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399999999999999">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399999999999999">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399999999999999">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399999999999999">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399999999999999">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399999999999999">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399999999999999">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399999999999999">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399999999999999">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399999999999999">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399999999999999">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399999999999999">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399999999999999">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399999999999999">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399999999999999">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399999999999999">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399999999999999">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399999999999999">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399999999999999">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399999999999999">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399999999999999">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399999999999999">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399999999999999">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399999999999999">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399999999999999">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399999999999999">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399999999999999">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399999999999999">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399999999999999">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399999999999999">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399999999999999">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399999999999999">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399999999999999">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399999999999999">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399999999999999">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399999999999999">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399999999999999">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399999999999999">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399999999999999">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399999999999999">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399999999999999">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399999999999999">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399999999999999">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399999999999999">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399999999999999">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399999999999999">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399999999999999">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399999999999999">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399999999999999">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399999999999999">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399999999999999">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399999999999999">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399999999999999">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399999999999999">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399999999999999">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399999999999999">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399999999999999">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399999999999999">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399999999999999">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399999999999999">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399999999999999">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399999999999999">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399999999999999">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399999999999999">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399999999999999">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399999999999999">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399999999999999">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399999999999999">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399999999999999">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399999999999999">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399999999999999">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399999999999999">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399999999999999">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399999999999999">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399999999999999">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399999999999999">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399999999999999">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399999999999999">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399999999999999">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399999999999999">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399999999999999">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399999999999999">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399999999999999">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399999999999999">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399999999999999">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399999999999999">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399999999999999">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399999999999999">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399999999999999">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399999999999999">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399999999999999">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399999999999999">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399999999999999">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399999999999999">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399999999999999">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399999999999999">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399999999999999">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399999999999999">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399999999999999">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399999999999999">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399999999999999">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399999999999999">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399999999999999">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399999999999999">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399999999999999">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399999999999999">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399999999999999">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399999999999999">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399999999999999">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399999999999999">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399999999999999">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399999999999999">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399999999999999">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399999999999999">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399999999999999">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399999999999999">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399999999999999">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399999999999999">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399999999999999">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399999999999999">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399999999999999">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399999999999999">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399999999999999">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399999999999999">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399999999999999">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399999999999999">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399999999999999">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399999999999999">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399999999999999">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399999999999999">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399999999999999">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399999999999999">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399999999999999">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399999999999999">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399999999999999">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399999999999999">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399999999999999">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399999999999999">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399999999999999">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399999999999999">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399999999999999">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399999999999999">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399999999999999">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399999999999999">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399999999999999">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399999999999999">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399999999999999">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399999999999999">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399999999999999">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399999999999999">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399999999999999">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399999999999999">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399999999999999">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399999999999999">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399999999999999">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399999999999999">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399999999999999">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399999999999999">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399999999999999">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399999999999999">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399999999999999">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399999999999999">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399999999999999">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399999999999999">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399999999999999">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399999999999999">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399999999999999">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399999999999999">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399999999999999">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399999999999999">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399999999999999">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399999999999999">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399999999999999">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399999999999999">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399999999999999">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399999999999999">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399999999999999">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399999999999999">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399999999999999">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399999999999999">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399999999999999">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399999999999999">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399999999999999">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399999999999999">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399999999999999">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399999999999999">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399999999999999">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399999999999999">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399999999999999">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399999999999999">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399999999999999">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399999999999999">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399999999999999">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399999999999999">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399999999999999">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399999999999999">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399999999999999">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399999999999999">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399999999999999">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399999999999999">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399999999999999">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399999999999999">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399999999999999">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399999999999999">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399999999999999">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399999999999999">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399999999999999">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399999999999999">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399999999999999">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399999999999999">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399999999999999">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399999999999999">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399999999999999">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399999999999999">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399999999999999">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399999999999999">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399999999999999">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399999999999999">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399999999999999">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399999999999999">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399999999999999">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399999999999999">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399999999999999">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399999999999999">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399999999999999">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399999999999999">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399999999999999">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399999999999999">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399999999999999">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399999999999999">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399999999999999">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399999999999999">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399999999999999">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399999999999999">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399999999999999">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399999999999999">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399999999999999">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399999999999999">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399999999999999">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399999999999999">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399999999999999">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399999999999999">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399999999999999">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399999999999999">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399999999999999">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399999999999999">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399999999999999">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399999999999999">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399999999999999">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399999999999999">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399999999999999">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399999999999999">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399999999999999">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399999999999999">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399999999999999">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399999999999999">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399999999999999">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399999999999999">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399999999999999">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399999999999999">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399999999999999">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399999999999999">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399999999999999">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399999999999999">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399999999999999">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399999999999999">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399999999999999">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399999999999999">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399999999999999">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399999999999999">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399999999999999">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399999999999999">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399999999999999">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399999999999999">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399999999999999">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399999999999999">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399999999999999">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399999999999999">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399999999999999">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399999999999999">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399999999999999">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399999999999999">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399999999999999">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399999999999999">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399999999999999">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399999999999999">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399999999999999">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399999999999999">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399999999999999">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399999999999999">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399999999999999">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399999999999999">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399999999999999">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399999999999999">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399999999999999">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399999999999999">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399999999999999">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399999999999999">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399999999999999">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399999999999999">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399999999999999">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399999999999999">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399999999999999">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399999999999999">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399999999999999">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399999999999999">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399999999999999">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399999999999999">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399999999999999">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399999999999999">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399999999999999">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399999999999999">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399999999999999">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399999999999999">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399999999999999">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399999999999999">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399999999999999">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399999999999999">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399999999999999">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399999999999999">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399999999999999">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399999999999999">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399999999999999">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399999999999999">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399999999999999">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399999999999999">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399999999999999">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399999999999999">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399999999999999">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399999999999999">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399999999999999">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399999999999999">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399999999999999">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399999999999999">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399999999999999">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399999999999999">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399999999999999">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399999999999999">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399999999999999">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399999999999999">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399999999999999">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399999999999999">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399999999999999">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399999999999999">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399999999999999">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399999999999999">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399999999999999">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399999999999999">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399999999999999">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399999999999999">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399999999999999">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399999999999999">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399999999999999">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399999999999999">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399999999999999">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399999999999999">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399999999999999">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399999999999999">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399999999999999">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399999999999999">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399999999999999">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399999999999999">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399999999999999">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399999999999999">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399999999999999">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399999999999999">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399999999999999">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399999999999999">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399999999999999">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399999999999999">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399999999999999">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399999999999999">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399999999999999">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399999999999999">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399999999999999">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399999999999999">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399999999999999">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399999999999999">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399999999999999">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399999999999999">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399999999999999">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399999999999999">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399999999999999">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399999999999999">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399999999999999">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399999999999999">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399999999999999">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399999999999999">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399999999999999">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399999999999999">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399999999999999">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399999999999999">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399999999999999">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399999999999999">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399999999999999">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399999999999999">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399999999999999">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399999999999999">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399999999999999">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399999999999999">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399999999999999">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399999999999999">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399999999999999">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399999999999999">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399999999999999">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399999999999999">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399999999999999">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399999999999999">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399999999999999">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399999999999999">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399999999999999">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399999999999999">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399999999999999">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399999999999999">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399999999999999">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399999999999999">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399999999999999">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399999999999999">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399999999999999">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399999999999999">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399999999999999">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399999999999999">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399999999999999">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399999999999999">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399999999999999">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399999999999999">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399999999999999">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399999999999999">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399999999999999">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399999999999999">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399999999999999">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399999999999999">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399999999999999">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399999999999999">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399999999999999">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399999999999999">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399999999999999">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399999999999999">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399999999999999">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399999999999999">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399999999999999">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399999999999999">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399999999999999">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399999999999999">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399999999999999">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399999999999999">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399999999999999">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399999999999999">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399999999999999">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399999999999999">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399999999999999">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399999999999999">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399999999999999">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399999999999999">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399999999999999">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399999999999999">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399999999999999">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399999999999999">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399999999999999">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399999999999999">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399999999999999">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399999999999999">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399999999999999">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399999999999999">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399999999999999">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399999999999999">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399999999999999">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399999999999999">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399999999999999">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399999999999999">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399999999999999">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399999999999999">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399999999999999">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399999999999999">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399999999999999">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399999999999999">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399999999999999">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399999999999999">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399999999999999">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399999999999999">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399999999999999">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399999999999999">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399999999999999">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399999999999999">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399999999999999">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399999999999999">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399999999999999">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399999999999999">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399999999999999">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399999999999999">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399999999999999">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399999999999999">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399999999999999">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399999999999999">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399999999999999">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399999999999999">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399999999999999">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399999999999999">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399999999999999">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399999999999999">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399999999999999">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399999999999999">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399999999999999">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399999999999999">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399999999999999">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399999999999999">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399999999999999">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399999999999999">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399999999999999">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399999999999999">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399999999999999">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399999999999999">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399999999999999">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399999999999999">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399999999999999">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399999999999999">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399999999999999">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399999999999999">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399999999999999">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399999999999999">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399999999999999">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399999999999999">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399999999999999">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399999999999999">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399999999999999">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399999999999999">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399999999999999">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399999999999999">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399999999999999">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399999999999999">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399999999999999">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399999999999999">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399999999999999">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399999999999999">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399999999999999">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399999999999999">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399999999999999">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399999999999999">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399999999999999">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399999999999999">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399999999999999">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399999999999999">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399999999999999">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399999999999999">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399999999999999">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399999999999999">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399999999999999">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399999999999999">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399999999999999">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399999999999999">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399999999999999">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399999999999999">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399999999999999">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399999999999999">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399999999999999">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399999999999999">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399999999999999">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399999999999999">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399999999999999">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399999999999999">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399999999999999">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399999999999999">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399999999999999">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399999999999999">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399999999999999">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399999999999999">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399999999999999">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399999999999999">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399999999999999">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399999999999999">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399999999999999">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399999999999999">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399999999999999">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399999999999999">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399999999999999">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399999999999999">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399999999999999">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399999999999999">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399999999999999">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399999999999999">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399999999999999">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399999999999999">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399999999999999">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399999999999999">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399999999999999">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399999999999999">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399999999999999">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399999999999999">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399999999999999">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399999999999999">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399999999999999">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399999999999999">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399999999999999">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399999999999999">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399999999999999">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399999999999999">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399999999999999">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399999999999999">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399999999999999">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399999999999999">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399999999999999">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399999999999999">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399999999999999">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399999999999999">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399999999999999">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399999999999999">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399999999999999">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399999999999999">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399999999999999">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399999999999999">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399999999999999">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399999999999999">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399999999999999">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399999999999999">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399999999999999">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399999999999999">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399999999999999">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399999999999999">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399999999999999">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399999999999999">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399999999999999">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399999999999999">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399999999999999">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399999999999999">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399999999999999">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399999999999999">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399999999999999">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399999999999999">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399999999999999">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399999999999999">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399999999999999">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399999999999999">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399999999999999">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399999999999999">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399999999999999">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399999999999999">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399999999999999">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399999999999999">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399999999999999">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399999999999999">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399999999999999">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399999999999999">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399999999999999">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399999999999999">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399999999999999">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399999999999999">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399999999999999">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399999999999999">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399999999999999">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399999999999999">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399999999999999">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399999999999999">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399999999999999">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399999999999999">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399999999999999">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399999999999999">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399999999999999">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399999999999999">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399999999999999">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399999999999999">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399999999999999">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399999999999999">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399999999999999">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399999999999999">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399999999999999">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399999999999999">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399999999999999">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399999999999999">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399999999999999">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399999999999999">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399999999999999">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399999999999999">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399999999999999">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399999999999999">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399999999999999">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399999999999999">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399999999999999">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399999999999999">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399999999999999">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399999999999999">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399999999999999">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399999999999999">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399999999999999">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399999999999999">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399999999999999">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399999999999999">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399999999999999">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399999999999999">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399999999999999">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399999999999999">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399999999999999">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399999999999999">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399999999999999">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399999999999999">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399999999999999">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399999999999999">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399999999999999">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399999999999999">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399999999999999">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399999999999999">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399999999999999">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399999999999999">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399999999999999">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399999999999999">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399999999999999">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399999999999999">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399999999999999">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399999999999999">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399999999999999">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399999999999999">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399999999999999">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399999999999999">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399999999999999">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399999999999999">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399999999999999">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399999999999999">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399999999999999">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399999999999999">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399999999999999">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399999999999999">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399999999999999">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399999999999999">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399999999999999">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399999999999999">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399999999999999">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399999999999999">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399999999999999">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399999999999999">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399999999999999">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399999999999999">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399999999999999">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399999999999999">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399999999999999">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399999999999999">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399999999999999">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399999999999999">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399999999999999">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399999999999999">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399999999999999">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399999999999999">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399999999999999">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399999999999999">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399999999999999">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399999999999999">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399999999999999">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399999999999999">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399999999999999">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399999999999999">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399999999999999">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399999999999999">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399999999999999">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399999999999999">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399999999999999">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399999999999999">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399999999999999">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399999999999999">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399999999999999">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399999999999999">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399999999999999">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399999999999999">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399999999999999">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399999999999999">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399999999999999">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399999999999999">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399999999999999">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399999999999999">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399999999999999">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399999999999999">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399999999999999">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399999999999999">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399999999999999">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399999999999999">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399999999999999">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399999999999999">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399999999999999">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399999999999999">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399999999999999">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399999999999999">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399999999999999">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399999999999999">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399999999999999">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399999999999999">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399999999999999">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399999999999999">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399999999999999">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399999999999999">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399999999999999">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399999999999999">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399999999999999">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399999999999999">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399999999999999">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399999999999999">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399999999999999">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399999999999999">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399999999999999">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399999999999999">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399999999999999">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399999999999999">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399999999999999">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399999999999999">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399999999999999">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399999999999999">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399999999999999">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399999999999999">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399999999999999">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399999999999999">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399999999999999">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399999999999999">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399999999999999">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399999999999999">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399999999999999">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399999999999999">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399999999999999">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399999999999999">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399999999999999">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399999999999999">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399999999999999">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399999999999999">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399999999999999">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399999999999999">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399999999999999">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399999999999999">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399999999999999">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399999999999999">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399999999999999">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399999999999999">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399999999999999">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399999999999999">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399999999999999">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399999999999999">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399999999999999">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399999999999999">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399999999999999">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399999999999999">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399999999999999">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399999999999999">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399999999999999">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399999999999999">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399999999999999">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399999999999999">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399999999999999">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399999999999999">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399999999999999">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399999999999999">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399999999999999">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399999999999999">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399999999999999">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399999999999999">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399999999999999">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399999999999999">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399999999999999">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399999999999999">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399999999999999">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399999999999999">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399999999999999">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399999999999999">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399999999999999">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399999999999999">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399999999999999">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399999999999999">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399999999999999">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399999999999999">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399999999999999">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399999999999999">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399999999999999">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399999999999999">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399999999999999">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399999999999999">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399999999999999">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399999999999999">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399999999999999">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399999999999999">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399999999999999">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399999999999999">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399999999999999">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399999999999999">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399999999999999">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399999999999999">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399999999999999">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399999999999999">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399999999999999">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399999999999999">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399999999999999">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399999999999999">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399999999999999">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399999999999999">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399999999999999">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399999999999999">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399999999999999">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399999999999999">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399999999999999">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399999999999999">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399999999999999">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399999999999999">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399999999999999">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399999999999999">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399999999999999">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399999999999999">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399999999999999">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399999999999999">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399999999999999">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399999999999999">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399999999999999">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399999999999999">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399999999999999">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399999999999999">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399999999999999">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399999999999999">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399999999999999">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399999999999999">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399999999999999">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399999999999999">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399999999999999">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399999999999999">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399999999999999">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399999999999999">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399999999999999">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399999999999999">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399999999999999">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399999999999999">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399999999999999">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399999999999999">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399999999999999">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399999999999999">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399999999999999">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399999999999999">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399999999999999">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399999999999999">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399999999999999">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399999999999999">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399999999999999">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399999999999999">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399999999999999">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399999999999999">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399999999999999">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399999999999999">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399999999999999">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399999999999999">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399999999999999">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399999999999999">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399999999999999">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399999999999999">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399999999999999">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399999999999999">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399999999999999">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399999999999999">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399999999999999">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399999999999999">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399999999999999">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399999999999999">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399999999999999">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399999999999999">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399999999999999">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399999999999999">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399999999999999">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399999999999999">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399999999999999">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399999999999999">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399999999999999">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399999999999999">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399999999999999">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399999999999999">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399999999999999">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399999999999999">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399999999999999">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399999999999999">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399999999999999">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399999999999999">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399999999999999">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399999999999999">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399999999999999">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399999999999999">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399999999999999">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399999999999999">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399999999999999">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399999999999999">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399999999999999">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399999999999999">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399999999999999">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399999999999999">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399999999999999">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399999999999999">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399999999999999">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399999999999999">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399999999999999">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399999999999999">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399999999999999">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399999999999999">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399999999999999">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399999999999999">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399999999999999">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399999999999999">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399999999999999">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399999999999999">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399999999999999">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399999999999999">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399999999999999">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399999999999999">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399999999999999">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399999999999999">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399999999999999">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399999999999999">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399999999999999">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399999999999999">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399999999999999">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399999999999999">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399999999999999">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399999999999999">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399999999999999">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399999999999999">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399999999999999">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399999999999999">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399999999999999">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399999999999999">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399999999999999">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399999999999999">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399999999999999">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399999999999999">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399999999999999">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399999999999999">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399999999999999">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399999999999999">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399999999999999">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399999999999999">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399999999999999">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399999999999999">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399999999999999">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399999999999999">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399999999999999">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399999999999999">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399999999999999">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399999999999999">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399999999999999">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399999999999999">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399999999999999">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399999999999999">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399999999999999">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399999999999999">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399999999999999">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399999999999999">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399999999999999">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399999999999999">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399999999999999">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399999999999999">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399999999999999">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399999999999999">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399999999999999">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399999999999999">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399999999999999">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399999999999999">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399999999999999">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399999999999999">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399999999999999">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399999999999999">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399999999999999">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399999999999999">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399999999999999">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399999999999999">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399999999999999">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399999999999999">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399999999999999">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399999999999999">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399999999999999">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399999999999999">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399999999999999">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399999999999999">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399999999999999">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399999999999999">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399999999999999">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399999999999999">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399999999999999">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399999999999999">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399999999999999">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399999999999999">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399999999999999">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399999999999999">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399999999999999">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399999999999999">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399999999999999">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399999999999999">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399999999999999">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399999999999999">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399999999999999">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399999999999999">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399999999999999">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399999999999999">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399999999999999">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399999999999999">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399999999999999">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399999999999999">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399999999999999">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399999999999999">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399999999999999">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399999999999999">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399999999999999">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399999999999999">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399999999999999">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399999999999999">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399999999999999">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399999999999999">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399999999999999">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399999999999999">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399999999999999">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399999999999999">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399999999999999">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399999999999999">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399999999999999">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399999999999999">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399999999999999">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399999999999999">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399999999999999">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399999999999999">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399999999999999">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399999999999999">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399999999999999">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399999999999999">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399999999999999">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399999999999999">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399999999999999">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399999999999999">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399999999999999">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399999999999999">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399999999999999">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399999999999999">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399999999999999">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399999999999999">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399999999999999">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399999999999999">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399999999999999">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399999999999999">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399999999999999">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399999999999999">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399999999999999">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399999999999999">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399999999999999">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399999999999999">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399999999999999">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399999999999999">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399999999999999">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399999999999999">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399999999999999">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399999999999999">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399999999999999">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399999999999999">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399999999999999">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399999999999999">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399999999999999">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399999999999999">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399999999999999">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399999999999999">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399999999999999">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399999999999999">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399999999999999">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399999999999999">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399999999999999">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399999999999999">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399999999999999">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399999999999999">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399999999999999">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399999999999999">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399999999999999">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399999999999999">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399999999999999">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399999999999999">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399999999999999">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399999999999999">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399999999999999">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399999999999999">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399999999999999">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399999999999999">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399999999999999">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399999999999999">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399999999999999">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399999999999999">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399999999999999">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399999999999999">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399999999999999">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399999999999999">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399999999999999">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399999999999999">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399999999999999">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399999999999999">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399999999999999">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399999999999999">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399999999999999">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399999999999999">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399999999999999">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399999999999999">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399999999999999">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399999999999999">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399999999999999">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399999999999999">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399999999999999">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399999999999999">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399999999999999">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399999999999999">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399999999999999">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399999999999999">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399999999999999">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399999999999999">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399999999999999">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399999999999999">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399999999999999">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399999999999999">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399999999999999">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399999999999999">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399999999999999">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399999999999999">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399999999999999">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399999999999999">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399999999999999">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399999999999999">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399999999999999">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399999999999999">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399999999999999">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399999999999999">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399999999999999">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399999999999999">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399999999999999">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399999999999999">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399999999999999">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399999999999999">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399999999999999">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399999999999999">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399999999999999">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399999999999999">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399999999999999">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399999999999999">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399999999999999">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399999999999999">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399999999999999">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399999999999999">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399999999999999">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399999999999999">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399999999999999">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399999999999999">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399999999999999">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399999999999999">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399999999999999">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399999999999999">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399999999999999">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399999999999999">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399999999999999">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399999999999999">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399999999999999">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399999999999999">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399999999999999">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399999999999999">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399999999999999">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399999999999999">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399999999999999">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399999999999999">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399999999999999">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399999999999999">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399999999999999">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399999999999999">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399999999999999">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399999999999999">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399999999999999">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399999999999999">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399999999999999">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399999999999999">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399999999999999">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399999999999999">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399999999999999">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399999999999999">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399999999999999">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399999999999999">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399999999999999">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399999999999999">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399999999999999">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399999999999999">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399999999999999">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399999999999999">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399999999999999">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399999999999999">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399999999999999">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399999999999999">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399999999999999">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399999999999999">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399999999999999">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399999999999999">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399999999999999">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399999999999999">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399999999999999">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399999999999999">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399999999999999">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399999999999999">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399999999999999">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399999999999999">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399999999999999">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399999999999999">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399999999999999">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399999999999999">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399999999999999">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399999999999999">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399999999999999">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399999999999999">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399999999999999">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399999999999999">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399999999999999">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399999999999999">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399999999999999">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399999999999999">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399999999999999">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399999999999999">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399999999999999">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399999999999999">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399999999999999">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399999999999999">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399999999999999">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399999999999999">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399999999999999">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399999999999999">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399999999999999">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399999999999999">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399999999999999">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399999999999999">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399999999999999">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399999999999999">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399999999999999">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399999999999999">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399999999999999">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399999999999999">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399999999999999">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399999999999999">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399999999999999">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399999999999999">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399999999999999">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399999999999999">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399999999999999">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399999999999999">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399999999999999">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399999999999999">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399999999999999">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399999999999999">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399999999999999">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399999999999999">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399999999999999">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399999999999999">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399999999999999">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399999999999999">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399999999999999">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399999999999999">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399999999999999">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399999999999999">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399999999999999">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399999999999999">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399999999999999">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399999999999999">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399999999999999">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399999999999999">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399999999999999">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399999999999999">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399999999999999">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399999999999999">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399999999999999">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399999999999999">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399999999999999">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399999999999999">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399999999999999">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399999999999999">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399999999999999">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399999999999999">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399999999999999">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399999999999999">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399999999999999">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399999999999999">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399999999999999">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399999999999999">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399999999999999">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399999999999999">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399999999999999">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399999999999999">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399999999999999">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399999999999999">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399999999999999">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399999999999999">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399999999999999">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399999999999999">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399999999999999">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399999999999999">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399999999999999">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399999999999999">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399999999999999">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399999999999999">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399999999999999">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399999999999999">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399999999999999">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399999999999999">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399999999999999">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399999999999999">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399999999999999">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399999999999999">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399999999999999">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399999999999999">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399999999999999">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399999999999999">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399999999999999">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399999999999999">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399999999999999">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399999999999999">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399999999999999">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399999999999999">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399999999999999">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399999999999999">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399999999999999">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399999999999999">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399999999999999">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399999999999999">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399999999999999">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399999999999999">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399999999999999">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399999999999999">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399999999999999">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399999999999999">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399999999999999">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399999999999999">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399999999999999">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399999999999999">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399999999999999">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399999999999999">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399999999999999">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399999999999999">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399999999999999">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399999999999999">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399999999999999">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399999999999999">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399999999999999">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399999999999999">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399999999999999">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399999999999999">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399999999999999">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399999999999999">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399999999999999">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399999999999999">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399999999999999">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399999999999999">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399999999999999">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399999999999999">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399999999999999">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399999999999999">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399999999999999">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399999999999999">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399999999999999">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399999999999999">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399999999999999">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399999999999999">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399999999999999">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399999999999999">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399999999999999">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399999999999999">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399999999999999">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399999999999999">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399999999999999">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399999999999999">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399999999999999">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399999999999999">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399999999999999">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399999999999999">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399999999999999">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399999999999999">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399999999999999">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399999999999999">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399999999999999">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399999999999999">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399999999999999">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399999999999999">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399999999999999">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399999999999999">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399999999999999">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399999999999999">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399999999999999">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399999999999999">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399999999999999">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399999999999999">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399999999999999">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399999999999999">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399999999999999">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399999999999999">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399999999999999">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399999999999999">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399999999999999">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399999999999999">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399999999999999">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399999999999999">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399999999999999">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399999999999999">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399999999999999">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399999999999999">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399999999999999">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399999999999999">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399999999999999">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399999999999999">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399999999999999">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399999999999999">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399999999999999">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399999999999999">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399999999999999">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399999999999999">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399999999999999">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399999999999999">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399999999999999">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399999999999999">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399999999999999">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399999999999999">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399999999999999">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399999999999999">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399999999999999">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399999999999999">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399999999999999">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399999999999999">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399999999999999">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399999999999999">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399999999999999">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399999999999999">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399999999999999">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399999999999999">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399999999999999">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399999999999999">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399999999999999">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399999999999999">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399999999999999">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399999999999999">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399999999999999">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399999999999999">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399999999999999">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399999999999999">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399999999999999">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399999999999999">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399999999999999">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399999999999999">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399999999999999">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399999999999999">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399999999999999">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399999999999999">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399999999999999">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399999999999999">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399999999999999">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399999999999999">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399999999999999">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399999999999999">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399999999999999">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399999999999999">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399999999999999">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399999999999999">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399999999999999">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399999999999999">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399999999999999">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399999999999999">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399999999999999">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399999999999999">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399999999999999">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399999999999999">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399999999999999">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399999999999999">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399999999999999">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399999999999999">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399999999999999">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399999999999999">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399999999999999">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399999999999999">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399999999999999">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399999999999999">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399999999999999">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399999999999999">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399999999999999">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399999999999999">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399999999999999">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399999999999999">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399999999999999">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399999999999999">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399999999999999">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399999999999999">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399999999999999">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399999999999999">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399999999999999">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399999999999999">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399999999999999">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399999999999999">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399999999999999">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399999999999999">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399999999999999">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399999999999999">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399999999999999">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399999999999999">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399999999999999">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399999999999999">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399999999999999">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399999999999999">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399999999999999">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399999999999999">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399999999999999">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399999999999999">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399999999999999">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399999999999999">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399999999999999">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399999999999999">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399999999999999">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399999999999999">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399999999999999">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399999999999999">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399999999999999">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399999999999999">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399999999999999">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399999999999999">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399999999999999">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399999999999999">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399999999999999">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399999999999999">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399999999999999">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399999999999999">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399999999999999">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399999999999999">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399999999999999">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399999999999999">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399999999999999">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399999999999999">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399999999999999">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399999999999999">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399999999999999">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399999999999999">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399999999999999">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399999999999999">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399999999999999">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399999999999999">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399999999999999">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399999999999999">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399999999999999">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399999999999999">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399999999999999">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399999999999999">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399999999999999">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399999999999999">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399999999999999">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399999999999999">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399999999999999">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399999999999999">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399999999999999">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399999999999999">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399999999999999">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399999999999999">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399999999999999">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399999999999999">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399999999999999">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399999999999999">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399999999999999">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399999999999999">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399999999999999">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399999999999999">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399999999999999">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399999999999999">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399999999999999">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399999999999999">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399999999999999">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399999999999999">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399999999999999">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399999999999999">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399999999999999">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399999999999999">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399999999999999">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399999999999999">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399999999999999">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399999999999999">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399999999999999">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399999999999999">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399999999999999">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399999999999999">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399999999999999">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399999999999999">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399999999999999">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399999999999999">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399999999999999">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399999999999999">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399999999999999">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399999999999999">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399999999999999">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399999999999999">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399999999999999">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399999999999999">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399999999999999">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399999999999999">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399999999999999">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399999999999999">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399999999999999">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399999999999999">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399999999999999">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399999999999999">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399999999999999">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399999999999999">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399999999999999">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399999999999999">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399999999999999">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399999999999999">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399999999999999">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399999999999999">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399999999999999">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399999999999999">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399999999999999">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399999999999999">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399999999999999">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399999999999999">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399999999999999">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399999999999999">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399999999999999">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399999999999999">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399999999999999">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399999999999999">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399999999999999">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399999999999999">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399999999999999">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399999999999999">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399999999999999">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399999999999999">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399999999999999">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399999999999999">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399999999999999">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399999999999999">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399999999999999">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399999999999999">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399999999999999">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399999999999999">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399999999999999">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399999999999999">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399999999999999">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399999999999999">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399999999999999">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399999999999999">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399999999999999">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399999999999999">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399999999999999">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399999999999999">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399999999999999">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399999999999999">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399999999999999">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399999999999999">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399999999999999">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399999999999999">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399999999999999">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399999999999999">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399999999999999">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399999999999999">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399999999999999">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399999999999999">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399999999999999">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399999999999999">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399999999999999">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399999999999999">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399999999999999">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399999999999999">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399999999999999">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399999999999999">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399999999999999">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399999999999999">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399999999999999">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399999999999999">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399999999999999">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399999999999999">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399999999999999">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399999999999999">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399999999999999">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399999999999999">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399999999999999">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399999999999999">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399999999999999">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399999999999999">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399999999999999">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399999999999999">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399999999999999">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399999999999999">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399999999999999">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399999999999999">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399999999999999">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399999999999999">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399999999999999">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399999999999999">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399999999999999">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399999999999999">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399999999999999">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399999999999999">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399999999999999">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399999999999999">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399999999999999">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399999999999999">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399999999999999">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399999999999999">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399999999999999">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399999999999999">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399999999999999">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399999999999999">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399999999999999">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399999999999999">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399999999999999">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399999999999999">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399999999999999">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399999999999999">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399999999999999">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399999999999999">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399999999999999">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399999999999999">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399999999999999">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399999999999999">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399999999999999">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399999999999999">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399999999999999">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399999999999999">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399999999999999">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399999999999999">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399999999999999">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399999999999999">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399999999999999">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399999999999999">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399999999999999">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399999999999999">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399999999999999">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399999999999999">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399999999999999">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399999999999999">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399999999999999">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399999999999999">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399999999999999">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399999999999999">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399999999999999">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399999999999999">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399999999999999">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399999999999999">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399999999999999">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399999999999999">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399999999999999">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399999999999999">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399999999999999">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399999999999999">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399999999999999">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399999999999999">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399999999999999">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399999999999999">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399999999999999">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399999999999999">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399999999999999">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399999999999999">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399999999999999">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399999999999999">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399999999999999">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399999999999999">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399999999999999">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399999999999999">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399999999999999">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399999999999999">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399999999999999">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399999999999999">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399999999999999">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399999999999999">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399999999999999">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399999999999999">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399999999999999">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399999999999999">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399999999999999">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399999999999999">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399999999999999">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399999999999999">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399999999999999">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399999999999999">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399999999999999">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399999999999999">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399999999999999">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399999999999999">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399999999999999">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399999999999999">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399999999999999">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399999999999999">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399999999999999">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399999999999999">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399999999999999">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399999999999999">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399999999999999">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399999999999999">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399999999999999">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399999999999999">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399999999999999">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399999999999999">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399999999999999">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399999999999999">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399999999999999">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399999999999999">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399999999999999">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399999999999999">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399999999999999">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399999999999999">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399999999999999">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399999999999999">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399999999999999">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399999999999999">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399999999999999">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399999999999999">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399999999999999">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399999999999999">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399999999999999">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399999999999999">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399999999999999">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399999999999999">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399999999999999">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399999999999999">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399999999999999">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399999999999999">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399999999999999">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399999999999999">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399999999999999">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399999999999999">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399999999999999">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399999999999999">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399999999999999">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399999999999999">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399999999999999">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399999999999999">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399999999999999">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399999999999999">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399999999999999">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399999999999999">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399999999999999">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399999999999999">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399999999999999">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399999999999999">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399999999999999">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399999999999999">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399999999999999">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399999999999999">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399999999999999">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399999999999999">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399999999999999">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399999999999999">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399999999999999">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399999999999999">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399999999999999">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399999999999999">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399999999999999">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399999999999999">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399999999999999">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399999999999999">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399999999999999">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399999999999999">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399999999999999">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399999999999999">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399999999999999">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399999999999999">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399999999999999">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399999999999999">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399999999999999">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399999999999999">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399999999999999">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399999999999999">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399999999999999">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399999999999999">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399999999999999">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399999999999999">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399999999999999">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399999999999999">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399999999999999">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399999999999999">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399999999999999">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399999999999999">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399999999999999">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399999999999999">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399999999999999">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399999999999999">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399999999999999">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399999999999999">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399999999999999">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399999999999999">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399999999999999">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399999999999999">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399999999999999">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399999999999999">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8"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2"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5" priority="28" stopIfTrue="1">
      <formula>IF(B586="",TRUE)</formula>
    </cfRule>
    <cfRule type="expression" dxfId="44" priority="39" stopIfTrue="1">
      <formula>IF(AND(COUNTIF(MetalSmelter,B586&amp;C586)=0,LEN(C586)&gt;0), TRUE, FALSE)</formula>
    </cfRule>
  </conditionalFormatting>
  <conditionalFormatting sqref="D586:D2493">
    <cfRule type="expression" dxfId="43" priority="22" stopIfTrue="1">
      <formula>IF(AND(LEN($C586) &gt;0, ($C586 &lt;&gt; "Smelter Not Listed")),1,0)</formula>
    </cfRule>
    <cfRule type="expression" dxfId="42" priority="47" stopIfTrue="1">
      <formula>IF(AND(D586="",$C586=$X$4),TRUE)</formula>
    </cfRule>
    <cfRule type="expression" dxfId="41" priority="48" stopIfTrue="1">
      <formula>IF(FIND("!",D586),TRUE)</formula>
    </cfRule>
  </conditionalFormatting>
  <conditionalFormatting sqref="G586:G2493">
    <cfRule type="expression" dxfId="40" priority="49" stopIfTrue="1">
      <formula>IF(FIND("Enter smelter details",G586),TRUE)</formula>
    </cfRule>
  </conditionalFormatting>
  <conditionalFormatting sqref="R586:R2494 E586:E2493">
    <cfRule type="expression" dxfId="39" priority="35" stopIfTrue="1">
      <formula>IF(AND(E586="",$C586=$X$4),TRUE)</formula>
    </cfRule>
    <cfRule type="expression" dxfId="38" priority="36" stopIfTrue="1">
      <formula>IF(FIND("!",E586),TRUE)</formula>
    </cfRule>
  </conditionalFormatting>
  <conditionalFormatting sqref="F586:F2493">
    <cfRule type="expression" dxfId="37" priority="26" stopIfTrue="1">
      <formula>IF(AND(LEN($A586)&gt;0,$A586&lt;&gt;$F586),TRUE,FALSE)</formula>
    </cfRule>
  </conditionalFormatting>
  <conditionalFormatting sqref="C586:C2493">
    <cfRule type="expression" dxfId="36" priority="25" stopIfTrue="1">
      <formula>IF(AND(B586&lt;&gt;"",C586=""),TRUE)</formula>
    </cfRule>
  </conditionalFormatting>
  <conditionalFormatting sqref="B5:B585">
    <cfRule type="expression" dxfId="35" priority="4" stopIfTrue="1">
      <formula>IF(B5="",TRUE)</formula>
    </cfRule>
    <cfRule type="expression" dxfId="34" priority="7" stopIfTrue="1">
      <formula>IF(AND(COUNTIF(MetalSmelter,B5&amp;C5)=0,LEN(C5)&gt;0), TRUE, FALSE)</formula>
    </cfRule>
  </conditionalFormatting>
  <conditionalFormatting sqref="D5:D585">
    <cfRule type="expression" dxfId="33" priority="1" stopIfTrue="1">
      <formula>IF(AND(LEN($C5) &gt;0, ($C5 &lt;&gt; "Smelter Not Listed")),1,0)</formula>
    </cfRule>
    <cfRule type="expression" dxfId="32" priority="8" stopIfTrue="1">
      <formula>IF(AND(D5="",$C5=$X$4),TRUE)</formula>
    </cfRule>
    <cfRule type="expression" dxfId="31" priority="9" stopIfTrue="1">
      <formula>IF(FIND("!",D5),TRUE)</formula>
    </cfRule>
  </conditionalFormatting>
  <conditionalFormatting sqref="G5:G585">
    <cfRule type="expression" dxfId="30" priority="10" stopIfTrue="1">
      <formula>IF(FIND("Enter smelter details",G5),TRUE)</formula>
    </cfRule>
  </conditionalFormatting>
  <conditionalFormatting sqref="R5:R585 E5:E585">
    <cfRule type="expression" dxfId="29" priority="5" stopIfTrue="1">
      <formula>IF(AND(E5="",$C5=$X$4),TRUE)</formula>
    </cfRule>
    <cfRule type="expression" dxfId="28" priority="6" stopIfTrue="1">
      <formula>IF(FIND("!",E5),TRUE)</formula>
    </cfRule>
  </conditionalFormatting>
  <conditionalFormatting sqref="F5:F585">
    <cfRule type="expression" dxfId="27" priority="3" stopIfTrue="1">
      <formula>IF(AND(LEN($A5)&gt;0,$A5&lt;&gt;$F5),TRUE,FALSE)</formula>
    </cfRule>
  </conditionalFormatting>
  <conditionalFormatting sqref="C5:C585">
    <cfRule type="expression" dxfId="26"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baseColWidth="10" defaultColWidth="8.90625" defaultRowHeight="12.6"/>
  <cols>
    <col min="1" max="1" width="45.08984375" style="22" customWidth="1"/>
    <col min="2" max="2" width="42.90625" style="25" customWidth="1"/>
    <col min="3" max="3" width="51.453125" style="22" customWidth="1"/>
    <col min="4" max="4" width="29.08984375" style="25" customWidth="1"/>
    <col min="5" max="5" width="9" style="24" hidden="1" customWidth="1"/>
    <col min="6" max="6" width="13.453125" style="22" hidden="1" customWidth="1"/>
    <col min="7" max="7" width="13.36328125" style="22" hidden="1" customWidth="1"/>
    <col min="8" max="8" width="9" style="22" hidden="1" customWidth="1"/>
    <col min="9" max="9" width="9" style="180" hidden="1" customWidth="1"/>
    <col min="10" max="10" width="48.90625" style="22" hidden="1" customWidth="1"/>
    <col min="11" max="11" width="9" style="22" hidden="1" customWidth="1"/>
    <col min="12" max="12" width="8.90625" style="22" hidden="1" customWidth="1"/>
    <col min="13" max="18" width="8.90625" style="22" customWidth="1"/>
    <col min="19" max="16384" width="8.90625" style="22"/>
  </cols>
  <sheetData>
    <row r="1" spans="1:10" ht="32.4">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6.2">
      <c r="A2" s="80" t="s">
        <v>1014</v>
      </c>
      <c r="B2" s="81" t="str">
        <f>IF(F62=1,"Click here to return to Smelter List","")</f>
        <v/>
      </c>
      <c r="C2" s="154" t="str">
        <f>IF(F61=1,"Click here to return to Product List","")</f>
        <v/>
      </c>
      <c r="D2" s="185" t="str">
        <f ca="1">IF(H67=0,"0",H67)</f>
        <v>0</v>
      </c>
    </row>
    <row r="3" spans="1:10" ht="16.2">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GAGGIONE SAS</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Mr VIVIANT</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j,viviant@gaggione.com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+33 (0)4 74 76 12 66</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Mr Viviant</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j,viviant@gaggione.com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+33 (0)4 74 76 12 66</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43888</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
      <c r="A14" s="105" t="str">
        <f ca="1">Declaration!B25</f>
        <v>1) Is any 3TG intentionally added or used in the product(s) or in the production process? (*)</v>
      </c>
      <c r="B14" s="108"/>
      <c r="C14" s="108"/>
      <c r="D14" s="112"/>
      <c r="E14" s="87" t="s">
        <v>921</v>
      </c>
      <c r="F14" s="109"/>
      <c r="G14" s="24"/>
      <c r="H14" s="86">
        <f t="shared" si="2"/>
        <v>0</v>
      </c>
    </row>
    <row r="15" spans="1:10" ht="26.4">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 xml:space="preserve">Tin  </v>
      </c>
      <c r="B16" s="105" t="str">
        <f>Declaration!D27</f>
        <v>no</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0.4">
      <c r="A19" s="105" t="str">
        <f ca="1">Declaration!B31</f>
        <v>2) Does any 3TG remain in the product(s)?</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 xml:space="preserve">Tin  </v>
      </c>
      <c r="B21" s="105">
        <f>IF($B$16="Yes",Declaration!D33,0)</f>
        <v>0</v>
      </c>
      <c r="C21" s="105" t="str">
        <f t="shared" ca="1" si="3"/>
        <v>Complete</v>
      </c>
      <c r="D21" s="113" t="str">
        <f>IF(H21=1,"Click here to answer question 2 for Tin","")</f>
        <v/>
      </c>
      <c r="E21" s="87" t="s">
        <v>918</v>
      </c>
      <c r="F21" s="110">
        <f>IF(B$16="No",0,1)</f>
        <v>0</v>
      </c>
      <c r="G21" s="84">
        <f t="shared" si="4"/>
        <v>1</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 xml:space="preserve">Tin  </v>
      </c>
      <c r="B26" s="105">
        <f>IF(AND($B$16="Yes",$B$21="Yes"),Declaration!D39,0)</f>
        <v>0</v>
      </c>
      <c r="C26" s="105" t="str">
        <f t="shared" ca="1" si="3"/>
        <v>Complete</v>
      </c>
      <c r="D26" s="113" t="str">
        <f>IF(H26=1,"Click here to answer question 3 for Tin","")</f>
        <v/>
      </c>
      <c r="E26" s="87" t="s">
        <v>918</v>
      </c>
      <c r="F26" s="110">
        <f>IF(OR(B16="No",B21="No"),0,1)</f>
        <v>0</v>
      </c>
      <c r="G26" s="84">
        <f t="shared" si="5"/>
        <v>1</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5" t="str">
        <f ca="1">Declaration!B43</f>
        <v xml:space="preserve">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 xml:space="preserve">Tin  </v>
      </c>
      <c r="B31" s="105">
        <f>IF(AND($B$16="Yes",$B$21="Yes"),Declaration!D45,0)</f>
        <v>0</v>
      </c>
      <c r="C31" s="105" t="str">
        <f ca="1">IF(H31=1,J31,I31)</f>
        <v>Complete</v>
      </c>
      <c r="D31" s="113" t="str">
        <f>IF(H31=1,"Click here to answer question 4 for Tin","")</f>
        <v/>
      </c>
      <c r="E31" s="87" t="s">
        <v>1437</v>
      </c>
      <c r="F31" s="110">
        <f>F26</f>
        <v>0</v>
      </c>
      <c r="G31" s="84">
        <f>IF(B31=0,1,0)</f>
        <v>1</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5" t="str">
        <f ca="1">Declaration!B49</f>
        <v xml:space="preserve">5) What percentage of relevant suppliers have provided a response to your supply chain survey? </v>
      </c>
      <c r="B34" s="108"/>
      <c r="C34" s="108"/>
      <c r="D34" s="112"/>
      <c r="E34" s="87" t="s">
        <v>918</v>
      </c>
      <c r="F34" s="109"/>
      <c r="G34" s="24"/>
      <c r="H34" s="24"/>
    </row>
    <row r="35" spans="1:10" ht="26.4">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4">
      <c r="A36" s="106" t="str">
        <f ca="1">Declaration!B51</f>
        <v xml:space="preserve">Tin  </v>
      </c>
      <c r="B36" s="105">
        <f>IF(AND($B$16="Yes",$B$21="Yes"),Declaration!D51,0)</f>
        <v>0</v>
      </c>
      <c r="C36" s="105" t="str">
        <f ca="1">IF(H36=1,J36,I36)</f>
        <v>Complete</v>
      </c>
      <c r="D36" s="111" t="str">
        <f>IF(H36=1,"Click here to answer question 5 for Tin","")</f>
        <v/>
      </c>
      <c r="E36" s="87" t="s">
        <v>917</v>
      </c>
      <c r="F36" s="110">
        <f>F26</f>
        <v>0</v>
      </c>
      <c r="G36" s="84">
        <f t="shared" si="5"/>
        <v>1</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4">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4">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0.4">
      <c r="A39" s="105" t="str">
        <f ca="1">Declaration!B55</f>
        <v xml:space="preserve">6) Have you identified all of the smelters supplying the 3TG to your supply chain? </v>
      </c>
      <c r="B39" s="108"/>
      <c r="C39" s="108"/>
      <c r="D39" s="112"/>
      <c r="E39" s="87" t="s">
        <v>919</v>
      </c>
      <c r="F39" s="109"/>
      <c r="G39" s="24"/>
      <c r="H39" s="24"/>
    </row>
    <row r="40" spans="1:10" ht="51.6">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6" t="str">
        <f ca="1">Declaration!B57</f>
        <v xml:space="preserve">Tin  </v>
      </c>
      <c r="B41" s="105">
        <f>IF(AND($B$16="Yes",$B$21="Yes"),Declaration!D57,0)</f>
        <v>0</v>
      </c>
      <c r="C41" s="105" t="str">
        <f t="shared" ca="1" si="3"/>
        <v>Complete</v>
      </c>
      <c r="D41" s="113" t="str">
        <f>IF(H41=1,"Click here to answer question 6 for Tin","")</f>
        <v/>
      </c>
      <c r="E41" s="87" t="s">
        <v>1433</v>
      </c>
      <c r="F41" s="110">
        <f>F26</f>
        <v>0</v>
      </c>
      <c r="G41" s="84">
        <f t="shared" si="5"/>
        <v>1</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5" t="str">
        <f ca="1">Declaration!B61</f>
        <v xml:space="preserve">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 xml:space="preserve">Tin  </v>
      </c>
      <c r="B46" s="105">
        <f>IF(AND($B$16="Yes",$B$21="Yes"),Declaration!D63,0)</f>
        <v>0</v>
      </c>
      <c r="C46" s="105" t="str">
        <f t="shared" ca="1" si="3"/>
        <v>Complete</v>
      </c>
      <c r="D46" s="114" t="str">
        <f>IF(H46=1,"Click here to answer question 7 for Tin","")</f>
        <v/>
      </c>
      <c r="E46" s="87" t="s">
        <v>918</v>
      </c>
      <c r="F46" s="110">
        <f>F26</f>
        <v>0</v>
      </c>
      <c r="G46" s="84">
        <f t="shared" si="5"/>
        <v>1</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2">
      <c r="A49" s="105" t="str">
        <f ca="1">Declaration!B68</f>
        <v>Question</v>
      </c>
      <c r="B49" s="108"/>
      <c r="C49" s="108"/>
      <c r="D49" s="112"/>
      <c r="E49" s="87" t="s">
        <v>509</v>
      </c>
      <c r="F49" s="109"/>
      <c r="G49" s="109"/>
      <c r="H49" s="109"/>
    </row>
    <row r="50" spans="1:12" ht="39">
      <c r="A50" s="105" t="str">
        <f ca="1">Declaration!B69</f>
        <v>A. Have you established a conflict minerals sourcing policy?</v>
      </c>
      <c r="B50" s="105" t="str">
        <f>Declaration!D69</f>
        <v>Yes</v>
      </c>
      <c r="C50" s="105" t="str">
        <f t="shared" ca="1" si="3"/>
        <v>Complete</v>
      </c>
      <c r="D50" s="111" t="str">
        <f>IF(H50=1,"Click here to answer question (A)","")</f>
        <v/>
      </c>
      <c r="E50" s="87" t="s">
        <v>1437</v>
      </c>
      <c r="F50" s="110">
        <f>IF(SUM(F$25:F$28)=0,0,1)</f>
        <v>0</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v>
      </c>
      <c r="B51" s="105" t="str">
        <f>Declaration!D71</f>
        <v>No</v>
      </c>
      <c r="C51" s="105" t="str">
        <f t="shared" ca="1" si="3"/>
        <v>Complete</v>
      </c>
      <c r="D51" s="111" t="str">
        <f>IF(H51=1,"Click here to answer question (B)","")</f>
        <v/>
      </c>
      <c r="E51" s="87" t="s">
        <v>1437</v>
      </c>
      <c r="F51" s="110">
        <f t="shared" ref="F51:F60" si="7">F$50</f>
        <v>0</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v>
      </c>
      <c r="B53" s="105" t="str">
        <f>Declaration!D73</f>
        <v>Yes</v>
      </c>
      <c r="C53" s="105" t="str">
        <f t="shared" ca="1" si="3"/>
        <v>Complete</v>
      </c>
      <c r="D53" s="111" t="str">
        <f>IF(H53=1,"Click here to answer question (C)","")</f>
        <v/>
      </c>
      <c r="E53" s="87" t="s">
        <v>1437</v>
      </c>
      <c r="F53" s="110">
        <f t="shared" si="7"/>
        <v>0</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0.4">
      <c r="A54" s="105" t="str">
        <f ca="1">Declaration!B75</f>
        <v>D. Do you require your direct suppliers to source the 3TG from smelters whose due diligence practices have been validated by an independent third party audit program?</v>
      </c>
      <c r="B54" s="105" t="str">
        <f>Declaration!D75</f>
        <v>No</v>
      </c>
      <c r="C54" s="105" t="str">
        <f ca="1">IF(H54=1,J54,I54)</f>
        <v>Complete</v>
      </c>
      <c r="D54" s="111" t="str">
        <f>IF(H54=1,"Click here to answer question (D)","")</f>
        <v/>
      </c>
      <c r="E54" s="87" t="s">
        <v>1437</v>
      </c>
      <c r="F54" s="110">
        <f t="shared" si="7"/>
        <v>0</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v>
      </c>
      <c r="B55" s="105" t="str">
        <f>Declaration!D77</f>
        <v>No</v>
      </c>
      <c r="C55" s="105" t="str">
        <f t="shared" ca="1" si="3"/>
        <v>Complete</v>
      </c>
      <c r="D55" s="111" t="str">
        <f>IF(H55=1,"Click here to answer question (E)","")</f>
        <v/>
      </c>
      <c r="E55" s="87" t="s">
        <v>1437</v>
      </c>
      <c r="F55" s="110">
        <f t="shared" si="7"/>
        <v>0</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v>
      </c>
      <c r="B56" s="105" t="str">
        <f>Declaration!D79</f>
        <v>Yes, using other format (describe)</v>
      </c>
      <c r="C56" s="105" t="str">
        <f t="shared" ca="1" si="3"/>
        <v>Complete</v>
      </c>
      <c r="D56" s="111" t="str">
        <f>IF(H56=1,"Click here to answer question (F)","")</f>
        <v/>
      </c>
      <c r="E56" s="87" t="s">
        <v>1437</v>
      </c>
      <c r="F56" s="110">
        <f t="shared" si="7"/>
        <v>0</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v>
      </c>
      <c r="B58" s="105" t="str">
        <f>Declaration!D81</f>
        <v>Yes</v>
      </c>
      <c r="C58" s="105" t="str">
        <f t="shared" ca="1" si="3"/>
        <v>Complete</v>
      </c>
      <c r="D58" s="111" t="str">
        <f>IF(H58=1,"Click here to answer question (G)","")</f>
        <v/>
      </c>
      <c r="E58" s="87" t="s">
        <v>1437</v>
      </c>
      <c r="F58" s="110">
        <f t="shared" si="7"/>
        <v>0</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v>
      </c>
      <c r="B59" s="105" t="str">
        <f>Declaration!D83</f>
        <v>No</v>
      </c>
      <c r="C59" s="105" t="str">
        <f t="shared" ca="1" si="3"/>
        <v>Complete</v>
      </c>
      <c r="D59" s="111" t="str">
        <f>IF(H59=1,"Click here to answer question (H)","")</f>
        <v/>
      </c>
      <c r="E59" s="87" t="s">
        <v>1437</v>
      </c>
      <c r="F59" s="110">
        <f t="shared" si="7"/>
        <v>0</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v>
      </c>
      <c r="B60" s="105" t="str">
        <f>Declaration!D85</f>
        <v>No</v>
      </c>
      <c r="C60" s="105" t="str">
        <f t="shared" ca="1" si="3"/>
        <v>Complete</v>
      </c>
      <c r="D60" s="111" t="str">
        <f>IF(H60=1,"Click here to answer question (I)","")</f>
        <v/>
      </c>
      <c r="E60" s="87" t="s">
        <v>1437</v>
      </c>
      <c r="F60" s="110">
        <f t="shared" si="7"/>
        <v>0</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IF(K63=1,L63,IF(B16="No","Not Required",IF(G63=0,I63,J63)))</f>
        <v>Not Required</v>
      </c>
      <c r="D63" s="111" t="str">
        <f>IF(H63=0,"","Click here to provide smelter information")</f>
        <v/>
      </c>
      <c r="E63" s="87" t="s">
        <v>918</v>
      </c>
      <c r="F63" s="110">
        <f>F26</f>
        <v>0</v>
      </c>
      <c r="G63" s="84">
        <f>IF(AND(COUNTIF(SmelterIdetifiedForMetal,"Tin")&gt;0,COUNTIF('Smelter List'!AB$5:AB$2493,"Tin?*")&gt;0),0,1)</f>
        <v>1</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2">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5" priority="337" stopIfTrue="1">
      <formula>IF(F62=0,TRUE)</formula>
    </cfRule>
  </conditionalFormatting>
  <conditionalFormatting sqref="A5:A13">
    <cfRule type="expression" dxfId="24" priority="45" stopIfTrue="1">
      <formula>$F5=0</formula>
    </cfRule>
    <cfRule type="expression" dxfId="23" priority="46" stopIfTrue="1">
      <formula>AND($F5=1,$G5=0)</formula>
    </cfRule>
    <cfRule type="expression" dxfId="22" priority="47" stopIfTrue="1">
      <formula>AND($F5&lt;&gt;0,$G5&lt;&gt;0)</formula>
    </cfRule>
  </conditionalFormatting>
  <conditionalFormatting sqref="B61">
    <cfRule type="expression" dxfId="21" priority="43" stopIfTrue="1">
      <formula>$F61=0</formula>
    </cfRule>
  </conditionalFormatting>
  <conditionalFormatting sqref="D52">
    <cfRule type="expression" dxfId="20" priority="354" stopIfTrue="1">
      <formula>$H$52=0</formula>
    </cfRule>
  </conditionalFormatting>
  <conditionalFormatting sqref="B63">
    <cfRule type="expression" dxfId="19" priority="35" stopIfTrue="1">
      <formula>IF(F63=0,TRUE)</formula>
    </cfRule>
  </conditionalFormatting>
  <conditionalFormatting sqref="B64">
    <cfRule type="expression" dxfId="18" priority="31" stopIfTrue="1">
      <formula>IF(F64=0,TRUE)</formula>
    </cfRule>
  </conditionalFormatting>
  <conditionalFormatting sqref="B65:B66">
    <cfRule type="expression" dxfId="17" priority="27" stopIfTrue="1">
      <formula>IF(F65=0,TRUE)</formula>
    </cfRule>
  </conditionalFormatting>
  <conditionalFormatting sqref="C66">
    <cfRule type="expression" dxfId="16" priority="9" stopIfTrue="1">
      <formula>C66="Not Required"</formula>
    </cfRule>
    <cfRule type="expression" dxfId="15" priority="17" stopIfTrue="1">
      <formula>OR(C66="Complete",C66="填写", C66="記入",C66="완료",C66="Complétez",C66="Concluído",C66="Vollständig",C66="Completare",C66="Doldurun")</formula>
    </cfRule>
  </conditionalFormatting>
  <conditionalFormatting sqref="A66">
    <cfRule type="expression" dxfId="14" priority="10" stopIfTrue="1">
      <formula>C66="Not Required"</formula>
    </cfRule>
    <cfRule type="expression" dxfId="13"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2" priority="343" stopIfTrue="1">
      <formula>$F4=0</formula>
    </cfRule>
    <cfRule type="expression" dxfId="11" priority="344" stopIfTrue="1">
      <formula>$H4=0</formula>
    </cfRule>
    <cfRule type="expression" dxfId="10" priority="345" stopIfTrue="1">
      <formula>$H4=1</formula>
    </cfRule>
  </conditionalFormatting>
  <conditionalFormatting sqref="C66 A66">
    <cfRule type="expression" dxfId="9" priority="7" stopIfTrue="1">
      <formula>IF(AND($F$66=1,$G$66=1),TRUE,FALSE)</formula>
    </cfRule>
  </conditionalFormatting>
  <conditionalFormatting sqref="A62:A65">
    <cfRule type="expression" dxfId="8" priority="4" stopIfTrue="1">
      <formula>$F62=0</formula>
    </cfRule>
    <cfRule type="expression" dxfId="7" priority="5" stopIfTrue="1">
      <formula>$H62=0</formula>
    </cfRule>
    <cfRule type="expression" dxfId="6" priority="6" stopIfTrue="1">
      <formula>$H62=1</formula>
    </cfRule>
  </conditionalFormatting>
  <conditionalFormatting sqref="C62:C65">
    <cfRule type="expression" dxfId="5" priority="1" stopIfTrue="1">
      <formula>$F62=0</formula>
    </cfRule>
    <cfRule type="expression" dxfId="4" priority="2" stopIfTrue="1">
      <formula>$H62=0</formula>
    </cfRule>
    <cfRule type="expression" dxfId="3"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baseColWidth="10" defaultColWidth="8.90625" defaultRowHeight="12.6"/>
  <cols>
    <col min="1" max="1" width="3.08984375" style="120" customWidth="1"/>
    <col min="2" max="2" width="39.90625" style="121" customWidth="1"/>
    <col min="3" max="3" width="39.90625" style="120" customWidth="1"/>
    <col min="4" max="4" width="58.90625" style="120" customWidth="1"/>
    <col min="5" max="5" width="1.6328125" style="120" customWidth="1"/>
    <col min="6" max="6" width="9" customWidth="1"/>
    <col min="7" max="16384" width="8.9062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ht="13.2">
      <c r="A2" s="29"/>
      <c r="B2" s="151"/>
      <c r="C2" s="151"/>
      <c r="D2"/>
      <c r="E2" s="30"/>
    </row>
    <row r="3" spans="1:6" ht="13.2">
      <c r="A3" s="29"/>
      <c r="B3" s="151"/>
      <c r="C3" s="151"/>
      <c r="D3" s="151"/>
      <c r="E3" s="30"/>
    </row>
    <row r="4" spans="1:6" ht="15.75" customHeight="1">
      <c r="A4" s="29"/>
      <c r="B4" s="441" t="s">
        <v>1014</v>
      </c>
      <c r="C4" s="441"/>
      <c r="D4" s="441"/>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2"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baseColWidth="10" defaultColWidth="8.90625" defaultRowHeight="12.6"/>
  <cols>
    <col min="1" max="1" width="9.08984375" style="225" bestFit="1" customWidth="1"/>
    <col min="2" max="2" width="42.90625" style="225" customWidth="1"/>
    <col min="3" max="3" width="63.90625" style="225" customWidth="1"/>
    <col min="4" max="4" width="25.453125" style="225" customWidth="1"/>
    <col min="5" max="5" width="12.6328125" style="225" customWidth="1"/>
    <col min="6" max="6" width="12.6328125" style="226" customWidth="1"/>
    <col min="7" max="7" width="15.36328125" style="225" customWidth="1"/>
    <col min="8" max="8" width="23.90625" style="225" customWidth="1"/>
    <col min="9" max="9" width="28.08984375" style="225" customWidth="1"/>
    <col min="10" max="10" width="48.26953125" style="225" hidden="1" customWidth="1"/>
    <col min="11" max="11" width="49.7265625" style="225" hidden="1" customWidth="1"/>
    <col min="12" max="13" width="49.7265625" style="225" customWidth="1"/>
    <col min="14" max="16384" width="8.90625" style="225"/>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0.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2"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baseColWidth="10" defaultColWidth="8.90625" defaultRowHeight="13.8"/>
  <cols>
    <col min="1" max="1" width="14.6328125" style="278" customWidth="1"/>
    <col min="2" max="2" width="14" style="278" customWidth="1"/>
    <col min="3" max="3" width="6.08984375" style="278" customWidth="1"/>
    <col min="4" max="4" width="56.26953125" style="278" customWidth="1"/>
    <col min="5" max="5" width="53.7265625" style="246" customWidth="1"/>
    <col min="6" max="6" width="54.08984375" style="278" customWidth="1"/>
    <col min="7" max="7" width="68.26953125" style="278" customWidth="1"/>
    <col min="8" max="8" width="49.26953125" style="278" customWidth="1"/>
    <col min="9" max="9" width="51.6328125" style="278" customWidth="1"/>
    <col min="10" max="10" width="50.26953125" style="278" customWidth="1"/>
    <col min="11" max="11" width="51.90625" style="229" customWidth="1"/>
    <col min="12" max="12" width="66.90625" style="344" customWidth="1"/>
    <col min="13" max="13" width="46.08984375" style="281" customWidth="1"/>
    <col min="14" max="16384" width="8.9062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2.8">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4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48.4">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1.4">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6">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6">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1.4">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1.4">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1.4">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1.4">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69">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6">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2.8">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6">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9">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6">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1.4">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1.4">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38.6">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5.2">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6">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1.4">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60">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4.2">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30.4">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5.2">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5.2">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1.4">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7.6">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48.4">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86.4">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0.8">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5.2">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0.8">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4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1.6">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7.2">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86.4">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6.4">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1.4">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6">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6.4">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9">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5.2">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3.4">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2.8">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82.8">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10.4">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9">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2">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2">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0.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17.39999999999998">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2.8">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9.4">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193.2">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4">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1.4">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193.2">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6">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03.60000000000002">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51.80000000000001">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38">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89.8">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6.6">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1.4">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7">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6">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6">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6">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6">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6">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6">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6">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2.8">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6.4">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24.2">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51.80000000000001">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9">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8">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0.4">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8">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6">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0.8">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10.4">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7.39999999999998">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7">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6">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9">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6">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51.8000000000000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96.6">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62.2">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34.6">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6">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8">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2.8">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193.2">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93.2">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9.4">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6">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6">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1.4">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2">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5.2">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6">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6">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6">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6">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6">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8.8">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4">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0.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37.799999999999997">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8.8">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8.8">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7.799999999999997">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8.8">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5.2">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1.4">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0.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7">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8.8">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1.4">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6">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8.8">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4">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4">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4">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4">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4">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14.4">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14.4">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6">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6">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6">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6">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6">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6">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6">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6">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6">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6">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6">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6">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4">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6">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1.4">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1.4">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5.2">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6">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1.4">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6">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5.2">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6">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6">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6">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6">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6">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6">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1.4">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1.4">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1.4">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6">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27.6">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27.6">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6">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27.6">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5.2">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5.2">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5.2">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5.2">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55.2">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55.2">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55.2">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55.2">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55.2">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55.2">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5.2">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55.2">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1.4">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1.4">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1.4">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1.4">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5.2">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5.2">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5.2">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5.2">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1.4">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1.4">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1.4">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1.4">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1.4">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5.2">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5.2">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1.4">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2.8">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41.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1.4">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1.4">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1.4">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1.4">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27.6">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1.4">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1.4">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1.4">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1.4">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6">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6">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6">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6">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1.4">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2">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6">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2.8">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6">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6">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9">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6">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6">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6.6">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VIVIANT Jerome</cp:lastModifiedBy>
  <cp:lastPrinted>2015-04-21T20:47:43Z</cp:lastPrinted>
  <dcterms:created xsi:type="dcterms:W3CDTF">2010-06-21T21:00:23Z</dcterms:created>
  <dcterms:modified xsi:type="dcterms:W3CDTF">2020-02-27T15:40:52Z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